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Z:\16 - CRMV-ES\Departamento Contábil\2025\09.2025\"/>
    </mc:Choice>
  </mc:AlternateContent>
  <xr:revisionPtr revIDLastSave="0" documentId="13_ncr:1_{AD956119-83E3-454D-B67A-D3B17469DD14}" xr6:coauthVersionLast="47" xr6:coauthVersionMax="47" xr10:uidLastSave="{00000000-0000-0000-0000-000000000000}"/>
  <bookViews>
    <workbookView xWindow="1905" yWindow="1905" windowWidth="11850" windowHeight="11475" tabRatio="918" firstSheet="8" activeTab="20" xr2:uid="{00000000-000D-0000-FFFF-FFFF00000000}"/>
  </bookViews>
  <sheets>
    <sheet name="01-2024" sheetId="13" r:id="rId1"/>
    <sheet name="02-2024" sheetId="14" r:id="rId2"/>
    <sheet name="03-2024" sheetId="15" r:id="rId3"/>
    <sheet name="04-2024" sheetId="16" r:id="rId4"/>
    <sheet name="05-2024" sheetId="17" r:id="rId5"/>
    <sheet name="06-2024" sheetId="18" r:id="rId6"/>
    <sheet name="07-2024" sheetId="19" r:id="rId7"/>
    <sheet name="08-2024" sheetId="20" r:id="rId8"/>
    <sheet name="09-2024" sheetId="21" r:id="rId9"/>
    <sheet name="10-2024" sheetId="22" r:id="rId10"/>
    <sheet name="11-2024" sheetId="23" r:id="rId11"/>
    <sheet name="12-2024" sheetId="24" r:id="rId12"/>
    <sheet name="01-2025" sheetId="25" r:id="rId13"/>
    <sheet name="02-2025" sheetId="26" r:id="rId14"/>
    <sheet name="03-2025" sheetId="27" r:id="rId15"/>
    <sheet name="04-2025" sheetId="28" r:id="rId16"/>
    <sheet name="05-2025" sheetId="29" r:id="rId17"/>
    <sheet name="06-2025" sheetId="30" r:id="rId18"/>
    <sheet name="07-2025" sheetId="31" r:id="rId19"/>
    <sheet name="08-2025" sheetId="32" r:id="rId20"/>
    <sheet name="09-2025" sheetId="33" r:id="rId21"/>
  </sheets>
  <definedNames>
    <definedName name="_xlnm.Print_Area" localSheetId="0">'01-2024'!$A$1:$I$46</definedName>
    <definedName name="_xlnm.Print_Area" localSheetId="12">'01-2025'!$A$1:$H$36</definedName>
    <definedName name="_xlnm.Print_Area" localSheetId="13">'02-2025'!$A$1:$H$38</definedName>
    <definedName name="_xlnm.Print_Area" localSheetId="2">'03-2024'!$A$1:$H$44</definedName>
    <definedName name="_xlnm.Print_Area" localSheetId="14">'03-2025'!$A$1:$H$37</definedName>
    <definedName name="_xlnm.Print_Area" localSheetId="3">'04-2024'!$A$1:$H$46</definedName>
    <definedName name="_xlnm.Print_Area" localSheetId="15">'04-2025'!$A$1:$H$39</definedName>
    <definedName name="_xlnm.Print_Area" localSheetId="4">'05-2024'!$A$1:$H$46</definedName>
    <definedName name="_xlnm.Print_Area" localSheetId="16">'05-2025'!$A$1:$H$39</definedName>
    <definedName name="_xlnm.Print_Area" localSheetId="5">'06-2024'!$A$1:$H$46</definedName>
    <definedName name="_xlnm.Print_Area" localSheetId="17">'06-2025'!$A$1:$H$39</definedName>
    <definedName name="_xlnm.Print_Area" localSheetId="6">'07-2024'!$A$1:$H$43</definedName>
    <definedName name="_xlnm.Print_Area" localSheetId="18">'07-2025'!$A$1:$H$41</definedName>
    <definedName name="_xlnm.Print_Area" localSheetId="7">'08-2024'!$A$1:$H$43</definedName>
    <definedName name="_xlnm.Print_Area" localSheetId="19">'08-2025'!$A$1:$H$41</definedName>
    <definedName name="_xlnm.Print_Area" localSheetId="8">'09-2024'!$A$1:$H$43</definedName>
    <definedName name="_xlnm.Print_Area" localSheetId="20">'09-2025'!$A$1:$H$41</definedName>
    <definedName name="_xlnm.Print_Area" localSheetId="9">'10-2024'!$A$1:$H$43</definedName>
    <definedName name="_xlnm.Print_Area" localSheetId="10">'11-2024'!$A$1:$H$43</definedName>
    <definedName name="_xlnm.Print_Area" localSheetId="11">'12-2024'!$A$1:$H$42</definedName>
  </definedNames>
  <calcPr calcId="191029"/>
  <extLs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26" roundtripDataChecksum="elfS7EsOkaKUmCczVlExAyoM190RapReaLO/RQ8mOGg="/>
    </ext>
  </extLst>
</workbook>
</file>

<file path=xl/calcChain.xml><?xml version="1.0" encoding="utf-8"?>
<calcChain xmlns="http://schemas.openxmlformats.org/spreadsheetml/2006/main">
  <c r="H33" i="33" l="1"/>
  <c r="F28" i="33"/>
  <c r="E28" i="33" s="1"/>
  <c r="G32" i="33" l="1"/>
  <c r="D32" i="33"/>
  <c r="G31" i="33"/>
  <c r="D31" i="33"/>
  <c r="F31" i="33" s="1"/>
  <c r="G30" i="33"/>
  <c r="D30" i="33"/>
  <c r="F30" i="33" s="1"/>
  <c r="E30" i="33" s="1"/>
  <c r="G29" i="33"/>
  <c r="D29" i="33"/>
  <c r="F29" i="33" s="1"/>
  <c r="G27" i="33"/>
  <c r="D27" i="33"/>
  <c r="G26" i="33"/>
  <c r="D26" i="33"/>
  <c r="F26" i="33" s="1"/>
  <c r="G25" i="33"/>
  <c r="D25" i="33"/>
  <c r="F25" i="33" s="1"/>
  <c r="E25" i="33" s="1"/>
  <c r="G24" i="33"/>
  <c r="D24" i="33"/>
  <c r="F24" i="33" s="1"/>
  <c r="G23" i="33"/>
  <c r="D23" i="33"/>
  <c r="F23" i="33" s="1"/>
  <c r="E23" i="33" s="1"/>
  <c r="G22" i="33"/>
  <c r="D22" i="33"/>
  <c r="F22" i="33" s="1"/>
  <c r="G21" i="33"/>
  <c r="D21" i="33"/>
  <c r="F21" i="33" s="1"/>
  <c r="E21" i="33" s="1"/>
  <c r="G20" i="33"/>
  <c r="D20" i="33"/>
  <c r="F20" i="33" s="1"/>
  <c r="G19" i="33"/>
  <c r="D19" i="33"/>
  <c r="F19" i="33" s="1"/>
  <c r="E19" i="33" s="1"/>
  <c r="G18" i="33"/>
  <c r="D18" i="33"/>
  <c r="F18" i="33" s="1"/>
  <c r="G17" i="33"/>
  <c r="D17" i="33"/>
  <c r="G16" i="33"/>
  <c r="D16" i="33"/>
  <c r="F16" i="33" s="1"/>
  <c r="G15" i="33"/>
  <c r="D15" i="33"/>
  <c r="F15" i="33" s="1"/>
  <c r="E15" i="33" s="1"/>
  <c r="G14" i="33"/>
  <c r="D14" i="33"/>
  <c r="F14" i="33" s="1"/>
  <c r="G13" i="33"/>
  <c r="D13" i="33"/>
  <c r="F13" i="33" s="1"/>
  <c r="E13" i="33" s="1"/>
  <c r="G12" i="33"/>
  <c r="D12" i="33"/>
  <c r="F12" i="33" s="1"/>
  <c r="G11" i="33"/>
  <c r="D11" i="33"/>
  <c r="F11" i="33" s="1"/>
  <c r="E11" i="33" s="1"/>
  <c r="G10" i="33"/>
  <c r="D10" i="33"/>
  <c r="F33" i="33"/>
  <c r="E33" i="33" s="1"/>
  <c r="F32" i="33"/>
  <c r="E32" i="33" s="1"/>
  <c r="B11" i="33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9" i="33" s="1"/>
  <c r="J31" i="32"/>
  <c r="F27" i="33" l="1"/>
  <c r="E27" i="33"/>
  <c r="B30" i="33"/>
  <c r="B31" i="33" s="1"/>
  <c r="B32" i="33" s="1"/>
  <c r="G34" i="33"/>
  <c r="F17" i="33"/>
  <c r="E17" i="33" s="1"/>
  <c r="D34" i="33"/>
  <c r="E12" i="33"/>
  <c r="E14" i="33"/>
  <c r="E16" i="33"/>
  <c r="E18" i="33"/>
  <c r="E20" i="33"/>
  <c r="E22" i="33"/>
  <c r="E24" i="33"/>
  <c r="E26" i="33"/>
  <c r="E29" i="33"/>
  <c r="E31" i="33"/>
  <c r="F10" i="33"/>
  <c r="F34" i="33" s="1"/>
  <c r="G30" i="32"/>
  <c r="D30" i="32"/>
  <c r="E30" i="32" s="1"/>
  <c r="G29" i="32"/>
  <c r="D29" i="32"/>
  <c r="G28" i="32"/>
  <c r="D28" i="32"/>
  <c r="G27" i="32"/>
  <c r="D27" i="32"/>
  <c r="G26" i="32"/>
  <c r="D26" i="32"/>
  <c r="G25" i="32"/>
  <c r="D25" i="32"/>
  <c r="G24" i="32"/>
  <c r="D24" i="32"/>
  <c r="G23" i="32"/>
  <c r="D23" i="32"/>
  <c r="G22" i="32"/>
  <c r="D22" i="32"/>
  <c r="E22" i="32" s="1"/>
  <c r="G21" i="32"/>
  <c r="D21" i="32"/>
  <c r="G20" i="32"/>
  <c r="D20" i="32"/>
  <c r="G19" i="32"/>
  <c r="D19" i="32"/>
  <c r="G18" i="32"/>
  <c r="D18" i="32"/>
  <c r="F18" i="32" s="1"/>
  <c r="E18" i="32" s="1"/>
  <c r="G17" i="32"/>
  <c r="G34" i="32" s="1"/>
  <c r="D17" i="32"/>
  <c r="G16" i="32"/>
  <c r="D16" i="32"/>
  <c r="F16" i="32" s="1"/>
  <c r="E16" i="32" s="1"/>
  <c r="G15" i="32"/>
  <c r="D15" i="32"/>
  <c r="G14" i="32"/>
  <c r="D14" i="32"/>
  <c r="G13" i="32"/>
  <c r="D13" i="32"/>
  <c r="G12" i="32"/>
  <c r="D12" i="32"/>
  <c r="G11" i="32"/>
  <c r="D11" i="32"/>
  <c r="H9" i="32"/>
  <c r="G10" i="32"/>
  <c r="D10" i="32"/>
  <c r="F33" i="32"/>
  <c r="E33" i="32" s="1"/>
  <c r="F32" i="32"/>
  <c r="E32" i="32" s="1"/>
  <c r="F31" i="32"/>
  <c r="F30" i="32"/>
  <c r="F29" i="32"/>
  <c r="F28" i="32"/>
  <c r="E28" i="32" s="1"/>
  <c r="F27" i="32"/>
  <c r="F26" i="32"/>
  <c r="E26" i="32" s="1"/>
  <c r="F25" i="32"/>
  <c r="F24" i="32"/>
  <c r="E24" i="32"/>
  <c r="F23" i="32"/>
  <c r="F22" i="32"/>
  <c r="F21" i="32"/>
  <c r="F20" i="32"/>
  <c r="E20" i="32" s="1"/>
  <c r="F19" i="32"/>
  <c r="F17" i="32"/>
  <c r="F15" i="32"/>
  <c r="F14" i="32"/>
  <c r="E14" i="32" s="1"/>
  <c r="F13" i="32"/>
  <c r="F12" i="32"/>
  <c r="E12" i="32" s="1"/>
  <c r="F11" i="32"/>
  <c r="B11" i="32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F10" i="32"/>
  <c r="H10" i="32" s="1"/>
  <c r="H11" i="32" s="1"/>
  <c r="H12" i="32" s="1"/>
  <c r="H13" i="32" s="1"/>
  <c r="E10" i="32"/>
  <c r="D34" i="32"/>
  <c r="J33" i="31"/>
  <c r="H33" i="31"/>
  <c r="H9" i="31"/>
  <c r="F30" i="30"/>
  <c r="E30" i="30" s="1"/>
  <c r="G32" i="31"/>
  <c r="D32" i="31"/>
  <c r="F32" i="31" s="1"/>
  <c r="E32" i="31" s="1"/>
  <c r="G31" i="31"/>
  <c r="D31" i="31"/>
  <c r="G30" i="31"/>
  <c r="D30" i="31"/>
  <c r="F30" i="31" s="1"/>
  <c r="E30" i="31" s="1"/>
  <c r="G29" i="31"/>
  <c r="D29" i="31"/>
  <c r="G28" i="31"/>
  <c r="D28" i="31"/>
  <c r="F28" i="31" s="1"/>
  <c r="E28" i="31" s="1"/>
  <c r="G27" i="31"/>
  <c r="D27" i="31"/>
  <c r="G26" i="31"/>
  <c r="D26" i="31"/>
  <c r="F26" i="31" s="1"/>
  <c r="E26" i="31" s="1"/>
  <c r="G25" i="31"/>
  <c r="D25" i="31"/>
  <c r="G24" i="31"/>
  <c r="D24" i="31"/>
  <c r="F24" i="31" s="1"/>
  <c r="E24" i="31" s="1"/>
  <c r="G23" i="31"/>
  <c r="D23" i="31"/>
  <c r="F23" i="31" s="1"/>
  <c r="G22" i="31"/>
  <c r="D22" i="31"/>
  <c r="F22" i="31" s="1"/>
  <c r="E22" i="31" s="1"/>
  <c r="G21" i="31"/>
  <c r="D21" i="31"/>
  <c r="G20" i="31"/>
  <c r="D20" i="31"/>
  <c r="F20" i="31" s="1"/>
  <c r="E20" i="31" s="1"/>
  <c r="G19" i="31"/>
  <c r="D19" i="31"/>
  <c r="F19" i="31" s="1"/>
  <c r="G18" i="31"/>
  <c r="D18" i="31"/>
  <c r="F18" i="31" s="1"/>
  <c r="E18" i="31" s="1"/>
  <c r="G17" i="31"/>
  <c r="D17" i="31"/>
  <c r="F17" i="31" s="1"/>
  <c r="E17" i="31" s="1"/>
  <c r="G16" i="31"/>
  <c r="D16" i="31"/>
  <c r="F16" i="31" s="1"/>
  <c r="E16" i="31" s="1"/>
  <c r="G15" i="31"/>
  <c r="D15" i="31"/>
  <c r="F15" i="31" s="1"/>
  <c r="E15" i="31" s="1"/>
  <c r="G14" i="31"/>
  <c r="D14" i="31"/>
  <c r="F14" i="31" s="1"/>
  <c r="E14" i="31" s="1"/>
  <c r="G13" i="31"/>
  <c r="D13" i="31"/>
  <c r="F13" i="31" s="1"/>
  <c r="G12" i="31"/>
  <c r="D12" i="31"/>
  <c r="F12" i="31" s="1"/>
  <c r="E12" i="31" s="1"/>
  <c r="G11" i="31"/>
  <c r="D11" i="31"/>
  <c r="G10" i="31"/>
  <c r="D10" i="31"/>
  <c r="F10" i="31" s="1"/>
  <c r="F33" i="31"/>
  <c r="F27" i="31"/>
  <c r="E27" i="31" s="1"/>
  <c r="F21" i="31"/>
  <c r="E21" i="31" s="1"/>
  <c r="F11" i="31"/>
  <c r="E11" i="31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F31" i="30"/>
  <c r="E31" i="30" s="1"/>
  <c r="G29" i="30"/>
  <c r="D29" i="30"/>
  <c r="F29" i="30" s="1"/>
  <c r="G28" i="30"/>
  <c r="D28" i="30"/>
  <c r="F28" i="30" s="1"/>
  <c r="G27" i="30"/>
  <c r="D27" i="30"/>
  <c r="F27" i="30" s="1"/>
  <c r="G26" i="30"/>
  <c r="D26" i="30"/>
  <c r="F26" i="30" s="1"/>
  <c r="G25" i="30"/>
  <c r="D25" i="30"/>
  <c r="F25" i="30" s="1"/>
  <c r="G24" i="30"/>
  <c r="D24" i="30"/>
  <c r="F24" i="30" s="1"/>
  <c r="G23" i="30"/>
  <c r="D23" i="30"/>
  <c r="G22" i="30"/>
  <c r="D22" i="30"/>
  <c r="F22" i="30" s="1"/>
  <c r="G21" i="30"/>
  <c r="D21" i="30"/>
  <c r="F21" i="30" s="1"/>
  <c r="E21" i="30" s="1"/>
  <c r="G20" i="30"/>
  <c r="D20" i="30"/>
  <c r="F20" i="30" s="1"/>
  <c r="G19" i="30"/>
  <c r="D19" i="30"/>
  <c r="F19" i="30" s="1"/>
  <c r="E19" i="30" s="1"/>
  <c r="G18" i="30"/>
  <c r="D18" i="30"/>
  <c r="F18" i="30" s="1"/>
  <c r="G17" i="30"/>
  <c r="D17" i="30"/>
  <c r="F17" i="30" s="1"/>
  <c r="E17" i="30" s="1"/>
  <c r="G16" i="30"/>
  <c r="D16" i="30"/>
  <c r="F16" i="30" s="1"/>
  <c r="G15" i="30"/>
  <c r="D15" i="30"/>
  <c r="G14" i="30"/>
  <c r="D14" i="30"/>
  <c r="F14" i="30" s="1"/>
  <c r="G13" i="30"/>
  <c r="D13" i="30"/>
  <c r="F13" i="30" s="1"/>
  <c r="E13" i="30" s="1"/>
  <c r="G12" i="30"/>
  <c r="D12" i="30"/>
  <c r="F12" i="30" s="1"/>
  <c r="G11" i="30"/>
  <c r="D11" i="30"/>
  <c r="G10" i="30"/>
  <c r="D10" i="30"/>
  <c r="F15" i="30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E31" i="29"/>
  <c r="G30" i="29"/>
  <c r="D30" i="29"/>
  <c r="G29" i="29"/>
  <c r="D29" i="29"/>
  <c r="F29" i="29" s="1"/>
  <c r="E29" i="29" s="1"/>
  <c r="G28" i="29"/>
  <c r="D28" i="29"/>
  <c r="F28" i="29" s="1"/>
  <c r="G27" i="29"/>
  <c r="D27" i="29"/>
  <c r="F27" i="29" s="1"/>
  <c r="E27" i="29" s="1"/>
  <c r="G26" i="29"/>
  <c r="D26" i="29"/>
  <c r="F26" i="29" s="1"/>
  <c r="G25" i="29"/>
  <c r="D25" i="29"/>
  <c r="F25" i="29" s="1"/>
  <c r="E25" i="29" s="1"/>
  <c r="G24" i="29"/>
  <c r="D24" i="29"/>
  <c r="F24" i="29" s="1"/>
  <c r="G23" i="29"/>
  <c r="D23" i="29"/>
  <c r="G22" i="29"/>
  <c r="D22" i="29"/>
  <c r="F22" i="29" s="1"/>
  <c r="G21" i="29"/>
  <c r="D21" i="29"/>
  <c r="G20" i="29"/>
  <c r="D20" i="29"/>
  <c r="F20" i="29" s="1"/>
  <c r="G19" i="29"/>
  <c r="D19" i="29"/>
  <c r="G18" i="29"/>
  <c r="D18" i="29"/>
  <c r="F18" i="29" s="1"/>
  <c r="G17" i="29"/>
  <c r="D17" i="29"/>
  <c r="G16" i="29"/>
  <c r="D16" i="29"/>
  <c r="F16" i="29" s="1"/>
  <c r="G15" i="29"/>
  <c r="D15" i="29"/>
  <c r="F15" i="29" s="1"/>
  <c r="E15" i="29" s="1"/>
  <c r="G14" i="29"/>
  <c r="D14" i="29"/>
  <c r="F14" i="29" s="1"/>
  <c r="G13" i="29"/>
  <c r="D13" i="29"/>
  <c r="G12" i="29"/>
  <c r="D12" i="29"/>
  <c r="F12" i="29" s="1"/>
  <c r="E12" i="29" s="1"/>
  <c r="G11" i="29"/>
  <c r="D11" i="29"/>
  <c r="G10" i="29"/>
  <c r="D10" i="29"/>
  <c r="F23" i="29"/>
  <c r="E23" i="29" s="1"/>
  <c r="F19" i="29"/>
  <c r="E19" i="29" s="1"/>
  <c r="F13" i="29"/>
  <c r="E13" i="29" s="1"/>
  <c r="F11" i="29"/>
  <c r="B11" i="29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G11" i="28"/>
  <c r="F11" i="28"/>
  <c r="G29" i="28"/>
  <c r="D29" i="28"/>
  <c r="F29" i="28" s="1"/>
  <c r="E29" i="28" s="1"/>
  <c r="G28" i="28"/>
  <c r="D28" i="28"/>
  <c r="G27" i="28"/>
  <c r="D27" i="28"/>
  <c r="F27" i="28" s="1"/>
  <c r="E27" i="28" s="1"/>
  <c r="G26" i="28"/>
  <c r="D26" i="28"/>
  <c r="F26" i="28" s="1"/>
  <c r="E26" i="28" s="1"/>
  <c r="G25" i="28"/>
  <c r="D25" i="28"/>
  <c r="F25" i="28" s="1"/>
  <c r="E25" i="28" s="1"/>
  <c r="G24" i="28"/>
  <c r="D24" i="28"/>
  <c r="F24" i="28" s="1"/>
  <c r="E24" i="28" s="1"/>
  <c r="G23" i="28"/>
  <c r="D23" i="28"/>
  <c r="G22" i="28"/>
  <c r="D22" i="28"/>
  <c r="F22" i="28" s="1"/>
  <c r="E22" i="28" s="1"/>
  <c r="G21" i="28"/>
  <c r="D21" i="28"/>
  <c r="F21" i="28" s="1"/>
  <c r="E21" i="28" s="1"/>
  <c r="G20" i="28"/>
  <c r="D20" i="28"/>
  <c r="F20" i="28" s="1"/>
  <c r="E20" i="28" s="1"/>
  <c r="G19" i="28"/>
  <c r="D19" i="28"/>
  <c r="F19" i="28" s="1"/>
  <c r="G18" i="28"/>
  <c r="D18" i="28"/>
  <c r="F18" i="28" s="1"/>
  <c r="E18" i="28" s="1"/>
  <c r="G17" i="28"/>
  <c r="D17" i="28"/>
  <c r="F17" i="28" s="1"/>
  <c r="E17" i="28" s="1"/>
  <c r="G16" i="28"/>
  <c r="D16" i="28"/>
  <c r="F16" i="28" s="1"/>
  <c r="E16" i="28" s="1"/>
  <c r="G15" i="28"/>
  <c r="D15" i="28"/>
  <c r="F15" i="28" s="1"/>
  <c r="E15" i="28" s="1"/>
  <c r="G14" i="28"/>
  <c r="D14" i="28"/>
  <c r="F14" i="28" s="1"/>
  <c r="E14" i="28" s="1"/>
  <c r="G13" i="28"/>
  <c r="D13" i="28"/>
  <c r="D11" i="28"/>
  <c r="G10" i="28"/>
  <c r="D10" i="28"/>
  <c r="F31" i="28"/>
  <c r="H31" i="28" s="1"/>
  <c r="E30" i="28"/>
  <c r="F28" i="28"/>
  <c r="F12" i="28"/>
  <c r="E12" i="28" s="1"/>
  <c r="B11" i="28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D10" i="27"/>
  <c r="F10" i="27" s="1"/>
  <c r="G10" i="27"/>
  <c r="G28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G12" i="27"/>
  <c r="F11" i="27"/>
  <c r="F12" i="27"/>
  <c r="E12" i="27" s="1"/>
  <c r="F13" i="27"/>
  <c r="E13" i="27" s="1"/>
  <c r="F14" i="27"/>
  <c r="E14" i="27" s="1"/>
  <c r="F15" i="27"/>
  <c r="F16" i="27"/>
  <c r="E16" i="27" s="1"/>
  <c r="F17" i="27"/>
  <c r="F18" i="27"/>
  <c r="E18" i="27" s="1"/>
  <c r="F19" i="27"/>
  <c r="F20" i="27"/>
  <c r="E20" i="27" s="1"/>
  <c r="F21" i="27"/>
  <c r="F22" i="27"/>
  <c r="E22" i="27" s="1"/>
  <c r="F23" i="27"/>
  <c r="E23" i="27" s="1"/>
  <c r="F24" i="27"/>
  <c r="E24" i="27" s="1"/>
  <c r="F25" i="27"/>
  <c r="F26" i="27"/>
  <c r="F27" i="27"/>
  <c r="F28" i="27"/>
  <c r="E28" i="27" s="1"/>
  <c r="F30" i="27"/>
  <c r="H30" i="27" s="1"/>
  <c r="B11" i="27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E29" i="27"/>
  <c r="E27" i="27"/>
  <c r="E26" i="27"/>
  <c r="E25" i="27"/>
  <c r="E21" i="27"/>
  <c r="E19" i="27"/>
  <c r="E17" i="27"/>
  <c r="E15" i="27"/>
  <c r="E11" i="27"/>
  <c r="F31" i="26"/>
  <c r="F32" i="26" s="1"/>
  <c r="D32" i="26"/>
  <c r="E30" i="26"/>
  <c r="G29" i="26"/>
  <c r="E29" i="26"/>
  <c r="G28" i="26"/>
  <c r="E28" i="26"/>
  <c r="G27" i="26"/>
  <c r="E27" i="26"/>
  <c r="G26" i="26"/>
  <c r="E26" i="26"/>
  <c r="G25" i="26"/>
  <c r="E25" i="26"/>
  <c r="G24" i="26"/>
  <c r="E24" i="26"/>
  <c r="G23" i="26"/>
  <c r="E23" i="26"/>
  <c r="G22" i="26"/>
  <c r="E22" i="26"/>
  <c r="G21" i="26"/>
  <c r="E21" i="26"/>
  <c r="G20" i="26"/>
  <c r="E20" i="26"/>
  <c r="G19" i="26"/>
  <c r="E19" i="26"/>
  <c r="G18" i="26"/>
  <c r="E18" i="26"/>
  <c r="G17" i="26"/>
  <c r="E17" i="26"/>
  <c r="G16" i="26"/>
  <c r="E16" i="26"/>
  <c r="G15" i="26"/>
  <c r="E15" i="26"/>
  <c r="G14" i="26"/>
  <c r="E14" i="26"/>
  <c r="G13" i="26"/>
  <c r="E13" i="26"/>
  <c r="G12" i="26"/>
  <c r="E12" i="26"/>
  <c r="G11" i="26"/>
  <c r="E11" i="26"/>
  <c r="B11" i="26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1" i="26" s="1"/>
  <c r="G10" i="26"/>
  <c r="H10" i="26" s="1"/>
  <c r="E10" i="26"/>
  <c r="D32" i="25"/>
  <c r="G31" i="25"/>
  <c r="E31" i="25"/>
  <c r="G30" i="25"/>
  <c r="E30" i="25"/>
  <c r="G29" i="25"/>
  <c r="E29" i="25"/>
  <c r="G28" i="25"/>
  <c r="E28" i="25"/>
  <c r="G27" i="25"/>
  <c r="E27" i="25"/>
  <c r="G26" i="25"/>
  <c r="E26" i="25"/>
  <c r="G25" i="25"/>
  <c r="E25" i="25"/>
  <c r="G24" i="25"/>
  <c r="E24" i="25"/>
  <c r="G23" i="25"/>
  <c r="E23" i="25"/>
  <c r="G22" i="25"/>
  <c r="E22" i="25"/>
  <c r="G21" i="25"/>
  <c r="E21" i="25"/>
  <c r="G20" i="25"/>
  <c r="E20" i="25"/>
  <c r="G19" i="25"/>
  <c r="E19" i="25"/>
  <c r="G18" i="25"/>
  <c r="E18" i="25"/>
  <c r="E17" i="25"/>
  <c r="G16" i="25"/>
  <c r="E16" i="25"/>
  <c r="G15" i="25"/>
  <c r="E15" i="25"/>
  <c r="G14" i="25"/>
  <c r="E14" i="25"/>
  <c r="G13" i="25"/>
  <c r="E13" i="25"/>
  <c r="G12" i="25"/>
  <c r="E12" i="25"/>
  <c r="G11" i="25"/>
  <c r="E11" i="25"/>
  <c r="B11" i="25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G10" i="25"/>
  <c r="H10" i="25" s="1"/>
  <c r="E10" i="25"/>
  <c r="F33" i="24"/>
  <c r="F17" i="24"/>
  <c r="D17" i="24"/>
  <c r="D35" i="24" s="1"/>
  <c r="F34" i="24"/>
  <c r="E34" i="24" s="1"/>
  <c r="E32" i="24"/>
  <c r="G31" i="24"/>
  <c r="E31" i="24"/>
  <c r="G30" i="24"/>
  <c r="E30" i="24"/>
  <c r="G29" i="24"/>
  <c r="E29" i="24"/>
  <c r="G28" i="24"/>
  <c r="E28" i="24"/>
  <c r="G27" i="24"/>
  <c r="E27" i="24"/>
  <c r="G26" i="24"/>
  <c r="E26" i="24"/>
  <c r="G25" i="24"/>
  <c r="E25" i="24"/>
  <c r="G24" i="24"/>
  <c r="E24" i="24"/>
  <c r="G23" i="24"/>
  <c r="E23" i="24"/>
  <c r="G22" i="24"/>
  <c r="E22" i="24"/>
  <c r="G21" i="24"/>
  <c r="E21" i="24"/>
  <c r="G20" i="24"/>
  <c r="E20" i="24"/>
  <c r="G19" i="24"/>
  <c r="E19" i="24"/>
  <c r="G18" i="24"/>
  <c r="E18" i="24"/>
  <c r="G17" i="24"/>
  <c r="G16" i="24"/>
  <c r="E16" i="24"/>
  <c r="G15" i="24"/>
  <c r="E15" i="24"/>
  <c r="G14" i="24"/>
  <c r="E14" i="24"/>
  <c r="G13" i="24"/>
  <c r="E13" i="24"/>
  <c r="G12" i="24"/>
  <c r="E12" i="24"/>
  <c r="G11" i="24"/>
  <c r="E11" i="24"/>
  <c r="B11" i="24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G10" i="24"/>
  <c r="H10" i="24" s="1"/>
  <c r="E10" i="24"/>
  <c r="D36" i="23"/>
  <c r="F34" i="23"/>
  <c r="E10" i="33" l="1"/>
  <c r="E34" i="33" s="1"/>
  <c r="H10" i="33"/>
  <c r="H11" i="33" s="1"/>
  <c r="H12" i="33" s="1"/>
  <c r="H13" i="33" s="1"/>
  <c r="H14" i="33" s="1"/>
  <c r="H15" i="33" s="1"/>
  <c r="H16" i="33" s="1"/>
  <c r="H17" i="33" s="1"/>
  <c r="H18" i="33" s="1"/>
  <c r="H19" i="33" s="1"/>
  <c r="H20" i="33" s="1"/>
  <c r="H21" i="33" s="1"/>
  <c r="H22" i="33" s="1"/>
  <c r="H23" i="33" s="1"/>
  <c r="H24" i="33" s="1"/>
  <c r="H25" i="33" s="1"/>
  <c r="H26" i="33" s="1"/>
  <c r="H27" i="33" s="1"/>
  <c r="H28" i="33" s="1"/>
  <c r="H29" i="33" s="1"/>
  <c r="H30" i="33" s="1"/>
  <c r="H31" i="33" s="1"/>
  <c r="H32" i="33" s="1"/>
  <c r="H14" i="32"/>
  <c r="H15" i="32" s="1"/>
  <c r="H16" i="32" s="1"/>
  <c r="H17" i="32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E11" i="32"/>
  <c r="E13" i="32"/>
  <c r="E15" i="32"/>
  <c r="E17" i="32"/>
  <c r="E19" i="32"/>
  <c r="E21" i="32"/>
  <c r="E23" i="32"/>
  <c r="E25" i="32"/>
  <c r="E27" i="32"/>
  <c r="E29" i="32"/>
  <c r="E31" i="32"/>
  <c r="F34" i="32"/>
  <c r="H32" i="28"/>
  <c r="H9" i="29"/>
  <c r="E28" i="28"/>
  <c r="E30" i="27"/>
  <c r="F31" i="31"/>
  <c r="E31" i="31" s="1"/>
  <c r="H31" i="30"/>
  <c r="D32" i="30"/>
  <c r="F23" i="30"/>
  <c r="E23" i="30" s="1"/>
  <c r="F25" i="31"/>
  <c r="E25" i="31" s="1"/>
  <c r="E13" i="31"/>
  <c r="E23" i="31"/>
  <c r="F29" i="31"/>
  <c r="G34" i="31"/>
  <c r="B24" i="31"/>
  <c r="B25" i="31" s="1"/>
  <c r="B26" i="31" s="1"/>
  <c r="B27" i="31" s="1"/>
  <c r="B28" i="31" s="1"/>
  <c r="B29" i="31" s="1"/>
  <c r="B30" i="31" s="1"/>
  <c r="B31" i="31" s="1"/>
  <c r="B32" i="31" s="1"/>
  <c r="E19" i="31"/>
  <c r="D34" i="31"/>
  <c r="E10" i="31"/>
  <c r="E33" i="31"/>
  <c r="B24" i="30"/>
  <c r="B25" i="30" s="1"/>
  <c r="B26" i="30" s="1"/>
  <c r="B27" i="30" s="1"/>
  <c r="B28" i="30" s="1"/>
  <c r="B29" i="30" s="1"/>
  <c r="E15" i="30"/>
  <c r="F11" i="30"/>
  <c r="E11" i="30" s="1"/>
  <c r="E27" i="30"/>
  <c r="E29" i="30"/>
  <c r="E25" i="30"/>
  <c r="G32" i="30"/>
  <c r="E12" i="30"/>
  <c r="E14" i="30"/>
  <c r="E16" i="30"/>
  <c r="E18" i="30"/>
  <c r="E20" i="30"/>
  <c r="E22" i="30"/>
  <c r="E24" i="30"/>
  <c r="E26" i="30"/>
  <c r="E28" i="30"/>
  <c r="F10" i="30"/>
  <c r="E10" i="30" s="1"/>
  <c r="D32" i="29"/>
  <c r="F21" i="29"/>
  <c r="E21" i="29" s="1"/>
  <c r="F30" i="29"/>
  <c r="E30" i="29" s="1"/>
  <c r="F10" i="29"/>
  <c r="F17" i="29"/>
  <c r="E17" i="29" s="1"/>
  <c r="G32" i="29"/>
  <c r="E11" i="29"/>
  <c r="E14" i="29"/>
  <c r="E16" i="29"/>
  <c r="E18" i="29"/>
  <c r="E20" i="29"/>
  <c r="E22" i="29"/>
  <c r="E24" i="29"/>
  <c r="E26" i="29"/>
  <c r="E28" i="29"/>
  <c r="E11" i="28"/>
  <c r="F13" i="28"/>
  <c r="E13" i="28" s="1"/>
  <c r="D31" i="27"/>
  <c r="E31" i="28"/>
  <c r="D32" i="28"/>
  <c r="F23" i="28"/>
  <c r="E23" i="28" s="1"/>
  <c r="G32" i="28"/>
  <c r="E19" i="28"/>
  <c r="B25" i="28"/>
  <c r="B26" i="28" s="1"/>
  <c r="B27" i="28" s="1"/>
  <c r="B28" i="28" s="1"/>
  <c r="B29" i="28" s="1"/>
  <c r="F10" i="28"/>
  <c r="E10" i="28" s="1"/>
  <c r="E10" i="27"/>
  <c r="E31" i="27" s="1"/>
  <c r="F31" i="27"/>
  <c r="H31" i="27"/>
  <c r="H9" i="28" s="1"/>
  <c r="G31" i="27"/>
  <c r="E31" i="26"/>
  <c r="E32" i="26" s="1"/>
  <c r="H11" i="26"/>
  <c r="H12" i="26" s="1"/>
  <c r="H13" i="26" s="1"/>
  <c r="H14" i="26" s="1"/>
  <c r="H15" i="26" s="1"/>
  <c r="H16" i="26" s="1"/>
  <c r="H17" i="26" s="1"/>
  <c r="H18" i="26" s="1"/>
  <c r="H19" i="26" s="1"/>
  <c r="H20" i="26" s="1"/>
  <c r="H21" i="26" s="1"/>
  <c r="H22" i="26" s="1"/>
  <c r="H23" i="26" s="1"/>
  <c r="H24" i="26" s="1"/>
  <c r="H25" i="26" s="1"/>
  <c r="H26" i="26" s="1"/>
  <c r="H27" i="26" s="1"/>
  <c r="H28" i="26" s="1"/>
  <c r="G32" i="26"/>
  <c r="H11" i="25"/>
  <c r="H12" i="25" s="1"/>
  <c r="H13" i="25" s="1"/>
  <c r="H14" i="25" s="1"/>
  <c r="H15" i="25" s="1"/>
  <c r="H16" i="25" s="1"/>
  <c r="F32" i="25"/>
  <c r="E32" i="25"/>
  <c r="G17" i="25"/>
  <c r="G32" i="25" s="1"/>
  <c r="G34" i="24"/>
  <c r="F35" i="24"/>
  <c r="E17" i="24"/>
  <c r="H11" i="24"/>
  <c r="H12" i="24" s="1"/>
  <c r="H13" i="24" s="1"/>
  <c r="H14" i="24" s="1"/>
  <c r="H15" i="24" s="1"/>
  <c r="H16" i="24" s="1"/>
  <c r="H17" i="24" s="1"/>
  <c r="H18" i="24" s="1"/>
  <c r="H19" i="24" s="1"/>
  <c r="H20" i="24" s="1"/>
  <c r="H21" i="24" s="1"/>
  <c r="H22" i="24" s="1"/>
  <c r="H23" i="24" s="1"/>
  <c r="H24" i="24" s="1"/>
  <c r="H25" i="24" s="1"/>
  <c r="H26" i="24" s="1"/>
  <c r="H27" i="24" s="1"/>
  <c r="H28" i="24" s="1"/>
  <c r="H29" i="24" s="1"/>
  <c r="H30" i="24" s="1"/>
  <c r="H31" i="24" s="1"/>
  <c r="G35" i="24"/>
  <c r="E33" i="24"/>
  <c r="E20" i="23"/>
  <c r="G20" i="23"/>
  <c r="F35" i="23"/>
  <c r="F36" i="23" s="1"/>
  <c r="E34" i="23"/>
  <c r="E33" i="23"/>
  <c r="G32" i="23"/>
  <c r="E32" i="23"/>
  <c r="G31" i="23"/>
  <c r="E31" i="23"/>
  <c r="G30" i="23"/>
  <c r="E30" i="23"/>
  <c r="G29" i="23"/>
  <c r="E29" i="23"/>
  <c r="G28" i="23"/>
  <c r="E28" i="23"/>
  <c r="G27" i="23"/>
  <c r="E27" i="23"/>
  <c r="G26" i="23"/>
  <c r="E26" i="23"/>
  <c r="G25" i="23"/>
  <c r="E25" i="23"/>
  <c r="G24" i="23"/>
  <c r="E24" i="23"/>
  <c r="G23" i="23"/>
  <c r="E23" i="23"/>
  <c r="G22" i="23"/>
  <c r="E22" i="23"/>
  <c r="G21" i="23"/>
  <c r="E21" i="23"/>
  <c r="G19" i="23"/>
  <c r="E19" i="23"/>
  <c r="G18" i="23"/>
  <c r="E18" i="23"/>
  <c r="G17" i="23"/>
  <c r="E17" i="23"/>
  <c r="G16" i="23"/>
  <c r="E16" i="23"/>
  <c r="G15" i="23"/>
  <c r="E15" i="23"/>
  <c r="G14" i="23"/>
  <c r="E14" i="23"/>
  <c r="G13" i="23"/>
  <c r="E13" i="23"/>
  <c r="G12" i="23"/>
  <c r="E12" i="23"/>
  <c r="G11" i="23"/>
  <c r="E11" i="23"/>
  <c r="B11" i="23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G10" i="23"/>
  <c r="H10" i="23" s="1"/>
  <c r="E10" i="23"/>
  <c r="XFD29" i="33" l="1"/>
  <c r="E34" i="32"/>
  <c r="H33" i="32"/>
  <c r="H34" i="32" s="1"/>
  <c r="F32" i="29"/>
  <c r="H34" i="31"/>
  <c r="F34" i="31"/>
  <c r="E29" i="31"/>
  <c r="E34" i="31" s="1"/>
  <c r="E32" i="30"/>
  <c r="F32" i="30"/>
  <c r="E10" i="29"/>
  <c r="H10" i="29"/>
  <c r="H11" i="29" s="1"/>
  <c r="H12" i="29" s="1"/>
  <c r="H13" i="29" s="1"/>
  <c r="H14" i="29" s="1"/>
  <c r="H15" i="29" s="1"/>
  <c r="H16" i="29" s="1"/>
  <c r="H17" i="29" s="1"/>
  <c r="H18" i="29" s="1"/>
  <c r="H19" i="29" s="1"/>
  <c r="H20" i="29" s="1"/>
  <c r="H21" i="29" s="1"/>
  <c r="H22" i="29" s="1"/>
  <c r="H23" i="29" s="1"/>
  <c r="H24" i="29" s="1"/>
  <c r="H25" i="29" s="1"/>
  <c r="H26" i="29" s="1"/>
  <c r="H27" i="29" s="1"/>
  <c r="H28" i="29" s="1"/>
  <c r="H29" i="29" s="1"/>
  <c r="E32" i="29"/>
  <c r="E32" i="28"/>
  <c r="H10" i="28"/>
  <c r="H11" i="28" s="1"/>
  <c r="H12" i="28" s="1"/>
  <c r="H13" i="28" s="1"/>
  <c r="H14" i="28" s="1"/>
  <c r="H15" i="28" s="1"/>
  <c r="H16" i="28" s="1"/>
  <c r="H17" i="28" s="1"/>
  <c r="H18" i="28" s="1"/>
  <c r="H19" i="28" s="1"/>
  <c r="H20" i="28" s="1"/>
  <c r="H21" i="28" s="1"/>
  <c r="H22" i="28" s="1"/>
  <c r="F32" i="28"/>
  <c r="E35" i="23"/>
  <c r="E36" i="23" s="1"/>
  <c r="E35" i="24"/>
  <c r="H29" i="26"/>
  <c r="H30" i="26" s="1"/>
  <c r="H17" i="25"/>
  <c r="H18" i="25" s="1"/>
  <c r="H19" i="25" s="1"/>
  <c r="H20" i="25" s="1"/>
  <c r="H21" i="25" s="1"/>
  <c r="H22" i="25" s="1"/>
  <c r="H23" i="25" s="1"/>
  <c r="H24" i="25" s="1"/>
  <c r="H25" i="25" s="1"/>
  <c r="H26" i="25" s="1"/>
  <c r="H27" i="25" s="1"/>
  <c r="H28" i="25" s="1"/>
  <c r="H29" i="25" s="1"/>
  <c r="H30" i="25" s="1"/>
  <c r="H31" i="25" s="1"/>
  <c r="H32" i="25" s="1"/>
  <c r="H32" i="24"/>
  <c r="H33" i="24" s="1"/>
  <c r="B22" i="23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H11" i="23"/>
  <c r="H12" i="23" s="1"/>
  <c r="H13" i="23" s="1"/>
  <c r="H14" i="23" s="1"/>
  <c r="H15" i="23" s="1"/>
  <c r="H16" i="23" s="1"/>
  <c r="H17" i="23" s="1"/>
  <c r="H18" i="23" s="1"/>
  <c r="H19" i="23" s="1"/>
  <c r="G35" i="23"/>
  <c r="G36" i="23" s="1"/>
  <c r="D36" i="22"/>
  <c r="F35" i="22"/>
  <c r="E35" i="22" s="1"/>
  <c r="E34" i="22"/>
  <c r="E33" i="22"/>
  <c r="G32" i="22"/>
  <c r="E32" i="22"/>
  <c r="G31" i="22"/>
  <c r="E31" i="22"/>
  <c r="G30" i="22"/>
  <c r="E30" i="22"/>
  <c r="G29" i="22"/>
  <c r="E29" i="22"/>
  <c r="G28" i="22"/>
  <c r="E28" i="22"/>
  <c r="G27" i="22"/>
  <c r="E27" i="22"/>
  <c r="G26" i="22"/>
  <c r="E26" i="22"/>
  <c r="G25" i="22"/>
  <c r="E25" i="22"/>
  <c r="G24" i="22"/>
  <c r="E24" i="22"/>
  <c r="G23" i="22"/>
  <c r="E23" i="22"/>
  <c r="G22" i="22"/>
  <c r="E22" i="22"/>
  <c r="G21" i="22"/>
  <c r="E21" i="22"/>
  <c r="G20" i="22"/>
  <c r="E20" i="22"/>
  <c r="G19" i="22"/>
  <c r="E19" i="22"/>
  <c r="G18" i="22"/>
  <c r="E18" i="22"/>
  <c r="G17" i="22"/>
  <c r="E17" i="22"/>
  <c r="G16" i="22"/>
  <c r="E16" i="22"/>
  <c r="G15" i="22"/>
  <c r="E15" i="22"/>
  <c r="G14" i="22"/>
  <c r="E14" i="22"/>
  <c r="G13" i="22"/>
  <c r="E13" i="22"/>
  <c r="G12" i="22"/>
  <c r="E12" i="22"/>
  <c r="G11" i="22"/>
  <c r="E11" i="22"/>
  <c r="B11" i="22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G10" i="22"/>
  <c r="E10" i="22"/>
  <c r="D36" i="21"/>
  <c r="E15" i="21"/>
  <c r="E10" i="21"/>
  <c r="F35" i="21"/>
  <c r="E35" i="21" s="1"/>
  <c r="E34" i="21"/>
  <c r="E33" i="21"/>
  <c r="G32" i="21"/>
  <c r="E32" i="21"/>
  <c r="G31" i="21"/>
  <c r="E31" i="21"/>
  <c r="G30" i="21"/>
  <c r="E30" i="21"/>
  <c r="G29" i="21"/>
  <c r="E29" i="21"/>
  <c r="G28" i="21"/>
  <c r="E28" i="21"/>
  <c r="G27" i="21"/>
  <c r="E27" i="21"/>
  <c r="G26" i="21"/>
  <c r="E26" i="21"/>
  <c r="G25" i="21"/>
  <c r="E25" i="21"/>
  <c r="G24" i="21"/>
  <c r="E24" i="21"/>
  <c r="G23" i="21"/>
  <c r="E23" i="21"/>
  <c r="G22" i="21"/>
  <c r="E22" i="21"/>
  <c r="G21" i="21"/>
  <c r="E21" i="21"/>
  <c r="G20" i="21"/>
  <c r="E20" i="21"/>
  <c r="G19" i="21"/>
  <c r="E19" i="21"/>
  <c r="G18" i="21"/>
  <c r="E18" i="21"/>
  <c r="G17" i="21"/>
  <c r="E17" i="21"/>
  <c r="G16" i="21"/>
  <c r="E16" i="21"/>
  <c r="G15" i="21"/>
  <c r="G14" i="21"/>
  <c r="E14" i="21"/>
  <c r="G13" i="21"/>
  <c r="E13" i="21"/>
  <c r="G12" i="21"/>
  <c r="E12" i="21"/>
  <c r="G11" i="21"/>
  <c r="E11" i="21"/>
  <c r="B11" i="2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G10" i="21"/>
  <c r="H34" i="33" l="1"/>
  <c r="H30" i="29"/>
  <c r="H31" i="29" s="1"/>
  <c r="H31" i="26"/>
  <c r="H32" i="26" s="1"/>
  <c r="H32" i="30"/>
  <c r="E36" i="22"/>
  <c r="H23" i="28"/>
  <c r="H24" i="28" s="1"/>
  <c r="H25" i="28" s="1"/>
  <c r="H26" i="28" s="1"/>
  <c r="H27" i="28" s="1"/>
  <c r="H28" i="28" s="1"/>
  <c r="H29" i="28" s="1"/>
  <c r="H30" i="28" s="1"/>
  <c r="H34" i="24"/>
  <c r="H35" i="24" s="1"/>
  <c r="H20" i="23"/>
  <c r="H21" i="23" s="1"/>
  <c r="H22" i="23" s="1"/>
  <c r="H23" i="23" s="1"/>
  <c r="H24" i="23" s="1"/>
  <c r="H25" i="23" s="1"/>
  <c r="H26" i="23" s="1"/>
  <c r="H27" i="23" s="1"/>
  <c r="H28" i="23" s="1"/>
  <c r="H29" i="23" s="1"/>
  <c r="H30" i="23" s="1"/>
  <c r="H31" i="23" s="1"/>
  <c r="H32" i="23" s="1"/>
  <c r="H33" i="23" s="1"/>
  <c r="H34" i="23" s="1"/>
  <c r="H35" i="23" s="1"/>
  <c r="H36" i="23" s="1"/>
  <c r="G35" i="22"/>
  <c r="G36" i="22" s="1"/>
  <c r="F36" i="22"/>
  <c r="H10" i="22"/>
  <c r="H11" i="22" s="1"/>
  <c r="H12" i="22" s="1"/>
  <c r="H13" i="22" s="1"/>
  <c r="H14" i="22" s="1"/>
  <c r="H15" i="22" s="1"/>
  <c r="H16" i="22" s="1"/>
  <c r="H17" i="22" s="1"/>
  <c r="H18" i="22" s="1"/>
  <c r="H19" i="22" s="1"/>
  <c r="H20" i="22" s="1"/>
  <c r="H21" i="22" s="1"/>
  <c r="H22" i="22" s="1"/>
  <c r="H23" i="22" s="1"/>
  <c r="H24" i="22" s="1"/>
  <c r="H25" i="22" s="1"/>
  <c r="H26" i="22" s="1"/>
  <c r="H27" i="22" s="1"/>
  <c r="H28" i="22" s="1"/>
  <c r="H29" i="22" s="1"/>
  <c r="H30" i="22" s="1"/>
  <c r="H31" i="22" s="1"/>
  <c r="H32" i="22" s="1"/>
  <c r="H33" i="22" s="1"/>
  <c r="H34" i="22" s="1"/>
  <c r="E36" i="21"/>
  <c r="G35" i="21"/>
  <c r="G36" i="21" s="1"/>
  <c r="F36" i="21"/>
  <c r="H10" i="21"/>
  <c r="H11" i="21" s="1"/>
  <c r="H12" i="21" s="1"/>
  <c r="H13" i="21" s="1"/>
  <c r="H14" i="21" s="1"/>
  <c r="H15" i="21" s="1"/>
  <c r="H16" i="21" s="1"/>
  <c r="H17" i="21" s="1"/>
  <c r="H18" i="21" s="1"/>
  <c r="H19" i="21" s="1"/>
  <c r="H20" i="21" s="1"/>
  <c r="H21" i="21" s="1"/>
  <c r="H22" i="21" s="1"/>
  <c r="H23" i="21" s="1"/>
  <c r="H24" i="21" s="1"/>
  <c r="H25" i="21" s="1"/>
  <c r="H26" i="21" s="1"/>
  <c r="H27" i="21" s="1"/>
  <c r="H28" i="21" s="1"/>
  <c r="H29" i="21" s="1"/>
  <c r="H30" i="21" s="1"/>
  <c r="H31" i="21" s="1"/>
  <c r="H32" i="21" s="1"/>
  <c r="H33" i="21" s="1"/>
  <c r="H34" i="21" s="1"/>
  <c r="D36" i="20"/>
  <c r="E34" i="20"/>
  <c r="F35" i="20"/>
  <c r="E35" i="20" s="1"/>
  <c r="E33" i="20"/>
  <c r="G32" i="20"/>
  <c r="E32" i="20"/>
  <c r="G31" i="20"/>
  <c r="E31" i="20"/>
  <c r="G30" i="20"/>
  <c r="E30" i="20"/>
  <c r="G29" i="20"/>
  <c r="E29" i="20"/>
  <c r="G28" i="20"/>
  <c r="E28" i="20"/>
  <c r="G27" i="20"/>
  <c r="E27" i="20"/>
  <c r="G26" i="20"/>
  <c r="E26" i="20"/>
  <c r="G25" i="20"/>
  <c r="E25" i="20"/>
  <c r="G24" i="20"/>
  <c r="E24" i="20"/>
  <c r="G23" i="20"/>
  <c r="E23" i="20"/>
  <c r="G22" i="20"/>
  <c r="E22" i="20"/>
  <c r="G21" i="20"/>
  <c r="E21" i="20"/>
  <c r="G20" i="20"/>
  <c r="E20" i="20"/>
  <c r="G19" i="20"/>
  <c r="E19" i="20"/>
  <c r="G18" i="20"/>
  <c r="E18" i="20"/>
  <c r="G17" i="20"/>
  <c r="E17" i="20"/>
  <c r="G16" i="20"/>
  <c r="E16" i="20"/>
  <c r="G15" i="20"/>
  <c r="E15" i="20"/>
  <c r="G14" i="20"/>
  <c r="E14" i="20"/>
  <c r="G13" i="20"/>
  <c r="E13" i="20"/>
  <c r="G12" i="20"/>
  <c r="E12" i="20"/>
  <c r="G11" i="20"/>
  <c r="E11" i="20"/>
  <c r="B11" i="20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G10" i="20"/>
  <c r="E10" i="20"/>
  <c r="H9" i="27" l="1"/>
  <c r="H10" i="27" s="1"/>
  <c r="H11" i="27" s="1"/>
  <c r="H12" i="27" s="1"/>
  <c r="H13" i="27" s="1"/>
  <c r="H14" i="27" s="1"/>
  <c r="H15" i="27" s="1"/>
  <c r="H16" i="27" s="1"/>
  <c r="H17" i="27" s="1"/>
  <c r="H18" i="27" s="1"/>
  <c r="H19" i="27" s="1"/>
  <c r="H20" i="27" s="1"/>
  <c r="H21" i="27" s="1"/>
  <c r="H22" i="27" s="1"/>
  <c r="H23" i="27" s="1"/>
  <c r="H24" i="27" s="1"/>
  <c r="H25" i="27" s="1"/>
  <c r="H26" i="27" s="1"/>
  <c r="H27" i="27" s="1"/>
  <c r="H28" i="27" s="1"/>
  <c r="H29" i="27" s="1"/>
  <c r="H10" i="31"/>
  <c r="H11" i="31" s="1"/>
  <c r="H12" i="31" s="1"/>
  <c r="H13" i="31" s="1"/>
  <c r="H14" i="31" s="1"/>
  <c r="H15" i="31" s="1"/>
  <c r="H16" i="31" s="1"/>
  <c r="H17" i="31" s="1"/>
  <c r="H18" i="31" s="1"/>
  <c r="H19" i="31" s="1"/>
  <c r="H20" i="31" s="1"/>
  <c r="H21" i="31" s="1"/>
  <c r="H22" i="31" s="1"/>
  <c r="H23" i="31" s="1"/>
  <c r="H24" i="31" s="1"/>
  <c r="H25" i="31" s="1"/>
  <c r="H26" i="31" s="1"/>
  <c r="H27" i="31" s="1"/>
  <c r="H28" i="31" s="1"/>
  <c r="H29" i="31" s="1"/>
  <c r="H30" i="31" s="1"/>
  <c r="H31" i="31" s="1"/>
  <c r="H32" i="31" s="1"/>
  <c r="H9" i="30"/>
  <c r="H10" i="30" s="1"/>
  <c r="H11" i="30" s="1"/>
  <c r="H12" i="30" s="1"/>
  <c r="H13" i="30" s="1"/>
  <c r="H14" i="30" s="1"/>
  <c r="H15" i="30" s="1"/>
  <c r="H16" i="30" s="1"/>
  <c r="H17" i="30" s="1"/>
  <c r="H18" i="30" s="1"/>
  <c r="H19" i="30" s="1"/>
  <c r="H20" i="30" s="1"/>
  <c r="H21" i="30" s="1"/>
  <c r="H22" i="30" s="1"/>
  <c r="H23" i="30" s="1"/>
  <c r="H24" i="30" s="1"/>
  <c r="H25" i="30" s="1"/>
  <c r="H26" i="30" s="1"/>
  <c r="H27" i="30" s="1"/>
  <c r="H28" i="30" s="1"/>
  <c r="H29" i="30" s="1"/>
  <c r="H30" i="30" s="1"/>
  <c r="H32" i="29"/>
  <c r="H35" i="21"/>
  <c r="H36" i="21" s="1"/>
  <c r="H35" i="22"/>
  <c r="H36" i="22" s="1"/>
  <c r="F36" i="20"/>
  <c r="E36" i="20"/>
  <c r="G35" i="20"/>
  <c r="G36" i="20" s="1"/>
  <c r="H10" i="20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E34" i="19"/>
  <c r="E33" i="19"/>
  <c r="H33" i="20" l="1"/>
  <c r="H34" i="20" s="1"/>
  <c r="H35" i="20" s="1"/>
  <c r="H36" i="20" s="1"/>
  <c r="D36" i="19"/>
  <c r="E32" i="19"/>
  <c r="G32" i="19"/>
  <c r="F35" i="19"/>
  <c r="F36" i="19" s="1"/>
  <c r="G31" i="19"/>
  <c r="E31" i="19"/>
  <c r="G30" i="19"/>
  <c r="E30" i="19"/>
  <c r="G29" i="19"/>
  <c r="E29" i="19"/>
  <c r="G28" i="19"/>
  <c r="E28" i="19"/>
  <c r="G27" i="19"/>
  <c r="E27" i="19"/>
  <c r="G26" i="19"/>
  <c r="E26" i="19"/>
  <c r="G25" i="19"/>
  <c r="E25" i="19"/>
  <c r="G24" i="19"/>
  <c r="E24" i="19"/>
  <c r="G23" i="19"/>
  <c r="E23" i="19"/>
  <c r="G22" i="19"/>
  <c r="E22" i="19"/>
  <c r="G21" i="19"/>
  <c r="E21" i="19"/>
  <c r="G20" i="19"/>
  <c r="E20" i="19"/>
  <c r="G19" i="19"/>
  <c r="E19" i="19"/>
  <c r="G18" i="19"/>
  <c r="E18" i="19"/>
  <c r="G17" i="19"/>
  <c r="E17" i="19"/>
  <c r="G16" i="19"/>
  <c r="E16" i="19"/>
  <c r="G15" i="19"/>
  <c r="E15" i="19"/>
  <c r="G14" i="19"/>
  <c r="E14" i="19"/>
  <c r="G13" i="19"/>
  <c r="E13" i="19"/>
  <c r="G12" i="19"/>
  <c r="E12" i="19"/>
  <c r="G11" i="19"/>
  <c r="E11" i="19"/>
  <c r="B11" i="19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G10" i="19"/>
  <c r="E10" i="19"/>
  <c r="G35" i="19" l="1"/>
  <c r="G36" i="19" s="1"/>
  <c r="E35" i="19"/>
  <c r="E36" i="19" s="1"/>
  <c r="H10" i="19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G29" i="18"/>
  <c r="H32" i="19" l="1"/>
  <c r="E32" i="18"/>
  <c r="E29" i="18"/>
  <c r="D39" i="17"/>
  <c r="F38" i="17"/>
  <c r="E38" i="17" s="1"/>
  <c r="G37" i="17"/>
  <c r="E37" i="17"/>
  <c r="G36" i="17"/>
  <c r="E36" i="17"/>
  <c r="B36" i="17"/>
  <c r="B37" i="17" s="1"/>
  <c r="B38" i="17" s="1"/>
  <c r="E35" i="17"/>
  <c r="E34" i="17"/>
  <c r="E33" i="17"/>
  <c r="E32" i="17"/>
  <c r="G31" i="17"/>
  <c r="E31" i="17"/>
  <c r="G30" i="17"/>
  <c r="E30" i="17"/>
  <c r="G29" i="17"/>
  <c r="E29" i="17"/>
  <c r="G28" i="17"/>
  <c r="E28" i="17"/>
  <c r="G27" i="17"/>
  <c r="E27" i="17"/>
  <c r="G26" i="17"/>
  <c r="E26" i="17"/>
  <c r="G25" i="17"/>
  <c r="E25" i="17"/>
  <c r="G24" i="17"/>
  <c r="E24" i="17"/>
  <c r="G23" i="17"/>
  <c r="E23" i="17"/>
  <c r="G22" i="17"/>
  <c r="E22" i="17"/>
  <c r="G21" i="17"/>
  <c r="E21" i="17"/>
  <c r="G20" i="17"/>
  <c r="E20" i="17"/>
  <c r="G19" i="17"/>
  <c r="E19" i="17"/>
  <c r="G18" i="17"/>
  <c r="E18" i="17"/>
  <c r="G17" i="17"/>
  <c r="E17" i="17"/>
  <c r="G16" i="17"/>
  <c r="E16" i="17"/>
  <c r="G15" i="17"/>
  <c r="E15" i="17"/>
  <c r="G14" i="17"/>
  <c r="E14" i="17"/>
  <c r="G13" i="17"/>
  <c r="E13" i="17"/>
  <c r="G12" i="17"/>
  <c r="E12" i="17"/>
  <c r="G11" i="17"/>
  <c r="E11" i="17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G10" i="17"/>
  <c r="E10" i="17"/>
  <c r="E39" i="17" l="1"/>
  <c r="G39" i="17"/>
  <c r="H33" i="19"/>
  <c r="H34" i="19" s="1"/>
  <c r="H35" i="19" s="1"/>
  <c r="H36" i="19" s="1"/>
  <c r="H10" i="17"/>
  <c r="H11" i="17" s="1"/>
  <c r="H12" i="17" s="1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H30" i="17" s="1"/>
  <c r="H31" i="17" s="1"/>
  <c r="H32" i="17" s="1"/>
  <c r="H33" i="17" s="1"/>
  <c r="G38" i="17"/>
  <c r="F39" i="17"/>
  <c r="H35" i="17" l="1"/>
  <c r="H36" i="17" s="1"/>
  <c r="H37" i="17" s="1"/>
  <c r="H38" i="17" s="1"/>
  <c r="H39" i="17" s="1"/>
  <c r="H34" i="17"/>
  <c r="D39" i="18"/>
  <c r="F38" i="18"/>
  <c r="E38" i="18" s="1"/>
  <c r="G37" i="18"/>
  <c r="E37" i="18"/>
  <c r="G36" i="18"/>
  <c r="E36" i="18"/>
  <c r="B36" i="18"/>
  <c r="B37" i="18" s="1"/>
  <c r="B38" i="18" s="1"/>
  <c r="E35" i="18"/>
  <c r="G31" i="18"/>
  <c r="E31" i="18"/>
  <c r="G30" i="18"/>
  <c r="E30" i="18"/>
  <c r="G28" i="18"/>
  <c r="E28" i="18"/>
  <c r="G27" i="18"/>
  <c r="E27" i="18"/>
  <c r="G26" i="18"/>
  <c r="E26" i="18"/>
  <c r="G25" i="18"/>
  <c r="E25" i="18"/>
  <c r="G24" i="18"/>
  <c r="E24" i="18"/>
  <c r="G23" i="18"/>
  <c r="E23" i="18"/>
  <c r="G22" i="18"/>
  <c r="E22" i="18"/>
  <c r="G21" i="18"/>
  <c r="E21" i="18"/>
  <c r="G20" i="18"/>
  <c r="E20" i="18"/>
  <c r="G19" i="18"/>
  <c r="E19" i="18"/>
  <c r="G18" i="18"/>
  <c r="E18" i="18"/>
  <c r="G17" i="18"/>
  <c r="E17" i="18"/>
  <c r="G16" i="18"/>
  <c r="E16" i="18"/>
  <c r="G15" i="18"/>
  <c r="E15" i="18"/>
  <c r="G14" i="18"/>
  <c r="E14" i="18"/>
  <c r="G13" i="18"/>
  <c r="E13" i="18"/>
  <c r="G12" i="18"/>
  <c r="E12" i="18"/>
  <c r="G11" i="18"/>
  <c r="E11" i="18"/>
  <c r="B11" i="18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G10" i="18"/>
  <c r="H10" i="18" s="1"/>
  <c r="E10" i="18"/>
  <c r="H11" i="18" l="1"/>
  <c r="H12" i="18" s="1"/>
  <c r="H13" i="18" s="1"/>
  <c r="H14" i="18" s="1"/>
  <c r="H15" i="18" s="1"/>
  <c r="H16" i="18" s="1"/>
  <c r="H17" i="18" s="1"/>
  <c r="H18" i="18" s="1"/>
  <c r="H19" i="18" s="1"/>
  <c r="H20" i="18" s="1"/>
  <c r="H21" i="18" s="1"/>
  <c r="H22" i="18" s="1"/>
  <c r="H23" i="18" s="1"/>
  <c r="H24" i="18" s="1"/>
  <c r="H25" i="18" s="1"/>
  <c r="H26" i="18" s="1"/>
  <c r="H27" i="18" s="1"/>
  <c r="H28" i="18" s="1"/>
  <c r="H29" i="18" s="1"/>
  <c r="H30" i="18" s="1"/>
  <c r="H31" i="18" s="1"/>
  <c r="H32" i="18" s="1"/>
  <c r="H33" i="18" s="1"/>
  <c r="H34" i="18" s="1"/>
  <c r="H35" i="18" s="1"/>
  <c r="H36" i="18" s="1"/>
  <c r="H37" i="18" s="1"/>
  <c r="E39" i="18"/>
  <c r="G39" i="18"/>
  <c r="G38" i="18"/>
  <c r="F39" i="18"/>
  <c r="H38" i="18" l="1"/>
  <c r="H39" i="18" s="1"/>
  <c r="B36" i="16"/>
  <c r="B37" i="16" s="1"/>
  <c r="B38" i="16" s="1"/>
  <c r="E36" i="16"/>
  <c r="G36" i="16"/>
  <c r="E37" i="16"/>
  <c r="G37" i="16"/>
  <c r="F38" i="16"/>
  <c r="G38" i="16" s="1"/>
  <c r="E34" i="16"/>
  <c r="E35" i="16"/>
  <c r="G30" i="16"/>
  <c r="G31" i="16"/>
  <c r="E30" i="16"/>
  <c r="E31" i="16"/>
  <c r="E26" i="16"/>
  <c r="D39" i="16"/>
  <c r="G33" i="16"/>
  <c r="E33" i="16"/>
  <c r="B33" i="16"/>
  <c r="B34" i="16" s="1"/>
  <c r="E32" i="16"/>
  <c r="G29" i="16"/>
  <c r="E29" i="16"/>
  <c r="G28" i="16"/>
  <c r="E28" i="16"/>
  <c r="G27" i="16"/>
  <c r="E27" i="16"/>
  <c r="G26" i="16"/>
  <c r="G25" i="16"/>
  <c r="E25" i="16"/>
  <c r="G24" i="16"/>
  <c r="E24" i="16"/>
  <c r="G23" i="16"/>
  <c r="E23" i="16"/>
  <c r="G22" i="16"/>
  <c r="E22" i="16"/>
  <c r="G21" i="16"/>
  <c r="E21" i="16"/>
  <c r="G20" i="16"/>
  <c r="E20" i="16"/>
  <c r="G19" i="16"/>
  <c r="E19" i="16"/>
  <c r="G18" i="16"/>
  <c r="E18" i="16"/>
  <c r="G17" i="16"/>
  <c r="E17" i="16"/>
  <c r="G16" i="16"/>
  <c r="E16" i="16"/>
  <c r="G15" i="16"/>
  <c r="E15" i="16"/>
  <c r="G14" i="16"/>
  <c r="E14" i="16"/>
  <c r="G13" i="16"/>
  <c r="E13" i="16"/>
  <c r="G12" i="16"/>
  <c r="E12" i="16"/>
  <c r="G11" i="16"/>
  <c r="E11" i="16"/>
  <c r="B11" i="16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G10" i="16"/>
  <c r="H10" i="16" s="1"/>
  <c r="E10" i="16"/>
  <c r="E38" i="16" l="1"/>
  <c r="F39" i="16"/>
  <c r="G39" i="16"/>
  <c r="H11" i="16"/>
  <c r="H12" i="16" s="1"/>
  <c r="H13" i="16" s="1"/>
  <c r="H14" i="16" s="1"/>
  <c r="H15" i="16" s="1"/>
  <c r="H16" i="16" s="1"/>
  <c r="H17" i="16" s="1"/>
  <c r="H18" i="16" s="1"/>
  <c r="H19" i="16" s="1"/>
  <c r="H20" i="16" s="1"/>
  <c r="H21" i="16" s="1"/>
  <c r="H22" i="16" s="1"/>
  <c r="H23" i="16" s="1"/>
  <c r="H24" i="16" s="1"/>
  <c r="H25" i="16" s="1"/>
  <c r="H26" i="16" s="1"/>
  <c r="H27" i="16" s="1"/>
  <c r="H28" i="16" s="1"/>
  <c r="H29" i="16" s="1"/>
  <c r="H30" i="16" s="1"/>
  <c r="H31" i="16" s="1"/>
  <c r="H32" i="16" s="1"/>
  <c r="E39" i="16"/>
  <c r="E30" i="15"/>
  <c r="G29" i="15"/>
  <c r="B31" i="15"/>
  <c r="B32" i="15" s="1"/>
  <c r="B33" i="15" s="1"/>
  <c r="B34" i="15" s="1"/>
  <c r="B35" i="15" s="1"/>
  <c r="B36" i="15" s="1"/>
  <c r="G31" i="15"/>
  <c r="G32" i="15"/>
  <c r="G33" i="15"/>
  <c r="G34" i="15"/>
  <c r="G35" i="15"/>
  <c r="D37" i="15"/>
  <c r="F36" i="15"/>
  <c r="E36" i="15" s="1"/>
  <c r="E35" i="15"/>
  <c r="E34" i="15"/>
  <c r="E33" i="15"/>
  <c r="E32" i="15"/>
  <c r="E31" i="15"/>
  <c r="E29" i="15"/>
  <c r="G28" i="15"/>
  <c r="E28" i="15"/>
  <c r="G27" i="15"/>
  <c r="E27" i="15"/>
  <c r="G26" i="15"/>
  <c r="E26" i="15"/>
  <c r="G25" i="15"/>
  <c r="E25" i="15"/>
  <c r="G24" i="15"/>
  <c r="E24" i="15"/>
  <c r="G23" i="15"/>
  <c r="E23" i="15"/>
  <c r="G22" i="15"/>
  <c r="E22" i="15"/>
  <c r="G21" i="15"/>
  <c r="E21" i="15"/>
  <c r="G20" i="15"/>
  <c r="E20" i="15"/>
  <c r="G19" i="15"/>
  <c r="E19" i="15"/>
  <c r="G18" i="15"/>
  <c r="E18" i="15"/>
  <c r="G17" i="15"/>
  <c r="E17" i="15"/>
  <c r="G16" i="15"/>
  <c r="E16" i="15"/>
  <c r="G15" i="15"/>
  <c r="E15" i="15"/>
  <c r="G14" i="15"/>
  <c r="E14" i="15"/>
  <c r="G13" i="15"/>
  <c r="E13" i="15"/>
  <c r="G12" i="15"/>
  <c r="E12" i="15"/>
  <c r="G11" i="15"/>
  <c r="E11" i="15"/>
  <c r="B11" i="15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G10" i="15"/>
  <c r="E10" i="15"/>
  <c r="E31" i="14"/>
  <c r="E32" i="14"/>
  <c r="E33" i="14"/>
  <c r="E34" i="14"/>
  <c r="E35" i="14"/>
  <c r="B36" i="14"/>
  <c r="F36" i="14"/>
  <c r="G36" i="14" s="1"/>
  <c r="G29" i="14"/>
  <c r="E29" i="14"/>
  <c r="D37" i="14"/>
  <c r="E30" i="14"/>
  <c r="G28" i="14"/>
  <c r="E28" i="14"/>
  <c r="G27" i="14"/>
  <c r="E27" i="14"/>
  <c r="G26" i="14"/>
  <c r="E26" i="14"/>
  <c r="G25" i="14"/>
  <c r="E25" i="14"/>
  <c r="G24" i="14"/>
  <c r="E24" i="14"/>
  <c r="G23" i="14"/>
  <c r="E23" i="14"/>
  <c r="G22" i="14"/>
  <c r="E22" i="14"/>
  <c r="G21" i="14"/>
  <c r="E21" i="14"/>
  <c r="G20" i="14"/>
  <c r="E20" i="14"/>
  <c r="G19" i="14"/>
  <c r="E19" i="14"/>
  <c r="G18" i="14"/>
  <c r="E18" i="14"/>
  <c r="G17" i="14"/>
  <c r="E17" i="14"/>
  <c r="G16" i="14"/>
  <c r="E16" i="14"/>
  <c r="G15" i="14"/>
  <c r="E15" i="14"/>
  <c r="G14" i="14"/>
  <c r="E14" i="14"/>
  <c r="G13" i="14"/>
  <c r="E13" i="14"/>
  <c r="G12" i="14"/>
  <c r="E12" i="14"/>
  <c r="G11" i="14"/>
  <c r="E11" i="14"/>
  <c r="B11" i="14"/>
  <c r="B12" i="14" s="1"/>
  <c r="B13" i="14" s="1"/>
  <c r="B14" i="14" s="1"/>
  <c r="B15" i="14" s="1"/>
  <c r="B16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G10" i="14"/>
  <c r="E10" i="14"/>
  <c r="D39" i="13"/>
  <c r="F38" i="13"/>
  <c r="E38" i="13" s="1"/>
  <c r="E37" i="13"/>
  <c r="E36" i="13"/>
  <c r="E35" i="13"/>
  <c r="E34" i="13"/>
  <c r="E33" i="13"/>
  <c r="E32" i="13"/>
  <c r="E31" i="13"/>
  <c r="G30" i="13"/>
  <c r="E30" i="13"/>
  <c r="G29" i="13"/>
  <c r="E29" i="13"/>
  <c r="G28" i="13"/>
  <c r="E28" i="13"/>
  <c r="G27" i="13"/>
  <c r="E27" i="13"/>
  <c r="G26" i="13"/>
  <c r="E26" i="13"/>
  <c r="G25" i="13"/>
  <c r="E25" i="13"/>
  <c r="G24" i="13"/>
  <c r="E24" i="13"/>
  <c r="G23" i="13"/>
  <c r="E23" i="13"/>
  <c r="G22" i="13"/>
  <c r="E22" i="13"/>
  <c r="G21" i="13"/>
  <c r="E21" i="13"/>
  <c r="G20" i="13"/>
  <c r="E20" i="13"/>
  <c r="G19" i="13"/>
  <c r="E19" i="13"/>
  <c r="G18" i="13"/>
  <c r="E18" i="13"/>
  <c r="G17" i="13"/>
  <c r="E17" i="13"/>
  <c r="G16" i="13"/>
  <c r="E16" i="13"/>
  <c r="G15" i="13"/>
  <c r="E15" i="13"/>
  <c r="G14" i="13"/>
  <c r="E14" i="13"/>
  <c r="G13" i="13"/>
  <c r="E13" i="13"/>
  <c r="G12" i="13"/>
  <c r="E12" i="13"/>
  <c r="G11" i="13"/>
  <c r="E11" i="13"/>
  <c r="B11" i="13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8" i="13" s="1"/>
  <c r="G10" i="13"/>
  <c r="H10" i="13" s="1"/>
  <c r="E10" i="13"/>
  <c r="G37" i="15" l="1"/>
  <c r="H33" i="16"/>
  <c r="H34" i="16" s="1"/>
  <c r="F37" i="15"/>
  <c r="G36" i="15"/>
  <c r="E37" i="15"/>
  <c r="H10" i="15"/>
  <c r="H11" i="15" s="1"/>
  <c r="H12" i="15" s="1"/>
  <c r="H13" i="15" s="1"/>
  <c r="H14" i="15" s="1"/>
  <c r="H15" i="15" s="1"/>
  <c r="H16" i="15" s="1"/>
  <c r="H17" i="15" s="1"/>
  <c r="H18" i="15" s="1"/>
  <c r="H19" i="15" s="1"/>
  <c r="H20" i="15" s="1"/>
  <c r="H21" i="15" s="1"/>
  <c r="H22" i="15" s="1"/>
  <c r="H23" i="15" s="1"/>
  <c r="H24" i="15" s="1"/>
  <c r="H25" i="15" s="1"/>
  <c r="H26" i="15" s="1"/>
  <c r="H27" i="15" s="1"/>
  <c r="H28" i="15" s="1"/>
  <c r="H29" i="15" s="1"/>
  <c r="H30" i="15" s="1"/>
  <c r="H31" i="15" s="1"/>
  <c r="H32" i="15" s="1"/>
  <c r="H33" i="15" s="1"/>
  <c r="H34" i="15" s="1"/>
  <c r="H35" i="15" s="1"/>
  <c r="E36" i="14"/>
  <c r="E37" i="14" s="1"/>
  <c r="F39" i="13"/>
  <c r="F37" i="14"/>
  <c r="G37" i="14"/>
  <c r="H10" i="14"/>
  <c r="H11" i="14" s="1"/>
  <c r="H12" i="14" s="1"/>
  <c r="H13" i="14" s="1"/>
  <c r="H14" i="14" s="1"/>
  <c r="H15" i="14" s="1"/>
  <c r="H16" i="14" s="1"/>
  <c r="H17" i="14" s="1"/>
  <c r="H18" i="14" s="1"/>
  <c r="H19" i="14" s="1"/>
  <c r="H20" i="14" s="1"/>
  <c r="H21" i="14" s="1"/>
  <c r="H22" i="14" s="1"/>
  <c r="H23" i="14" s="1"/>
  <c r="H24" i="14" s="1"/>
  <c r="H25" i="14" s="1"/>
  <c r="H26" i="14" s="1"/>
  <c r="H27" i="14" s="1"/>
  <c r="H28" i="14" s="1"/>
  <c r="H29" i="14" s="1"/>
  <c r="H30" i="14" s="1"/>
  <c r="H31" i="14" s="1"/>
  <c r="H32" i="14" s="1"/>
  <c r="H33" i="14" s="1"/>
  <c r="H34" i="14" s="1"/>
  <c r="H35" i="14" s="1"/>
  <c r="H36" i="14" s="1"/>
  <c r="H37" i="14" s="1"/>
  <c r="G39" i="13"/>
  <c r="H11" i="13"/>
  <c r="H12" i="13" s="1"/>
  <c r="H13" i="13" s="1"/>
  <c r="H14" i="13" s="1"/>
  <c r="H15" i="13" s="1"/>
  <c r="H16" i="13" s="1"/>
  <c r="H17" i="13" s="1"/>
  <c r="H18" i="13" s="1"/>
  <c r="H19" i="13" s="1"/>
  <c r="H20" i="13" s="1"/>
  <c r="H21" i="13" s="1"/>
  <c r="H22" i="13" s="1"/>
  <c r="H23" i="13" s="1"/>
  <c r="H24" i="13" s="1"/>
  <c r="H25" i="13" s="1"/>
  <c r="H26" i="13" s="1"/>
  <c r="H27" i="13" s="1"/>
  <c r="H28" i="13" s="1"/>
  <c r="H29" i="13" s="1"/>
  <c r="H30" i="13" s="1"/>
  <c r="H31" i="13" s="1"/>
  <c r="E39" i="13"/>
  <c r="G38" i="13"/>
  <c r="H32" i="13" l="1"/>
  <c r="H33" i="13" s="1"/>
  <c r="H34" i="13" s="1"/>
  <c r="H35" i="13" s="1"/>
  <c r="H36" i="13" s="1"/>
  <c r="H37" i="13" s="1"/>
  <c r="H38" i="13" s="1"/>
  <c r="H39" i="13" s="1"/>
  <c r="H36" i="15"/>
  <c r="H37" i="15" s="1"/>
  <c r="H35" i="16"/>
  <c r="H36" i="16" l="1"/>
  <c r="H37" i="16" s="1"/>
  <c r="H38" i="16" s="1"/>
  <c r="H39" i="16" s="1"/>
</calcChain>
</file>

<file path=xl/sharedStrings.xml><?xml version="1.0" encoding="utf-8"?>
<sst xmlns="http://schemas.openxmlformats.org/spreadsheetml/2006/main" count="884" uniqueCount="137">
  <si>
    <t>CRMV / ES</t>
  </si>
  <si>
    <t>CONSELHO REGIONAL DE MEDICINA VETERINARIA DO ESTADO DO ES</t>
  </si>
  <si>
    <t>CNPJ: 27.398.460/0001-76</t>
  </si>
  <si>
    <t>DATA</t>
  </si>
  <si>
    <t>BANCO/AG</t>
  </si>
  <si>
    <t>25% COTA-PARTE</t>
  </si>
  <si>
    <t>R$ REPASSADO</t>
  </si>
  <si>
    <t>R$ A REPASSAR</t>
  </si>
  <si>
    <t>BB 74053-5</t>
  </si>
  <si>
    <t>TOTAL</t>
  </si>
  <si>
    <t xml:space="preserve">Repasse de cota parte de 25% da Receita para o Conselho Federal de Medicina Veterinária. Valor total de cota parte do mês </t>
  </si>
  <si>
    <t>BB 74052-7</t>
  </si>
  <si>
    <t>*</t>
  </si>
  <si>
    <t>**</t>
  </si>
  <si>
    <t>Período: 01/01/2024 a 31/01/2024</t>
  </si>
  <si>
    <t>COTA-PARTE REFERENTE AO MÊS DE JANEIRO DE 2024</t>
  </si>
  <si>
    <t>R$ 205.479,15  valor repassado no mês R$ 204.507,16.</t>
  </si>
  <si>
    <t>Período: 01/02/2024 a 29/02/2024</t>
  </si>
  <si>
    <t>COTA-PARTE REFERENTE AO MÊS DE FEVEREIRO DE 2024</t>
  </si>
  <si>
    <t xml:space="preserve"> BB 74052-7</t>
  </si>
  <si>
    <t xml:space="preserve"> BB 74052-6</t>
  </si>
  <si>
    <t>R$ 194.420,22  valor repassado no mês R$ 201.749,05.</t>
  </si>
  <si>
    <t>* Valor reconhecido em 03/07/2023 como receita mas não considerado na apuração de cota-parte, sendo apurado a cota-parte em dezembro/2023 e repassado em 16/02/2024.</t>
  </si>
  <si>
    <t>** Valor restituido ao Profisisonal em 23/02/2024 sendo compensado da base de cálculo da cota-parte de fevereiro/2024.</t>
  </si>
  <si>
    <t>Período: 01/03/2024 a 31/03/2024</t>
  </si>
  <si>
    <t>COTA-PARTE REFERENTE AO MÊS DE MARÇO DE 2024</t>
  </si>
  <si>
    <t>SALDO FEVEREIRO/2024</t>
  </si>
  <si>
    <t>SALDO JANEIRO/2024</t>
  </si>
  <si>
    <t>SALDO DEZEMBRO/2024</t>
  </si>
  <si>
    <t>R$ 51.853,13  valor repassado no mês R$ 49.261,87.</t>
  </si>
  <si>
    <t>*Valores Referentes a cota parte apurada através de receita de anuidades em dívida ativa, recebido via depósito judicial</t>
  </si>
  <si>
    <t>Período: 01/04/2024 a 30/04/2024</t>
  </si>
  <si>
    <t>SALDO MARÇO/2024</t>
  </si>
  <si>
    <t>BB 74053-6</t>
  </si>
  <si>
    <t>BB 74053-7</t>
  </si>
  <si>
    <t>R$ 53.083,48  valor repassado no mês R$ 50.143,61.</t>
  </si>
  <si>
    <t>** Valor restituido à entidade jurídica em 03/04/2024 sendo compensado da base de cálculo da cota-parte de abril/2024.</t>
  </si>
  <si>
    <t>***</t>
  </si>
  <si>
    <t>*Valores Referentes a cota parte apurada através de receita de anuidades em dívida ativa, recebido via depósito judicial e identificado no mês de abril.</t>
  </si>
  <si>
    <t>***Valor referente cota-parte apurada em 31/01/2024 sobre arrecadação de dívida ativa identificada em janeiro/2024 e repassada no dia 03/04/2024.</t>
  </si>
  <si>
    <t>*Valor referente restituição por repetição de indébito em 22/04/2024, execução orçamentária em 09/05/2024 - ESCOM COMERCIO LTDA, sendo compensado da base de cálculo da cota-parte de maio/2024.</t>
  </si>
  <si>
    <t>R$ 75.401,85  valor repassado no mês R$ 76.696,11.</t>
  </si>
  <si>
    <t>***Valor referente cota-parte apurada em 30/04/2024 sobre arrecadação de dívida ativa identificada em abril/2024 e repassada no dia 20/05/2024.</t>
  </si>
  <si>
    <t>**Valor referente cota-parte apurada em 31/03/2024 sobre arrecadação de dívida ativa identificada em março/2024 e repassada no dia 20/05/2024.</t>
  </si>
  <si>
    <t>COTA-PARTE REFERENTE AO MÊS DE ABRIL DE 2024</t>
  </si>
  <si>
    <t>COTA-PARTE REFERENTE AO MÊS DE MAIO DE 2024</t>
  </si>
  <si>
    <t>Período: 01/06/2024 a 30/06/2024</t>
  </si>
  <si>
    <t>SALDO MAIO/2024</t>
  </si>
  <si>
    <t>Período: 01/05/2024 a 31/05/2024</t>
  </si>
  <si>
    <t>SALDO ABRIL/2024</t>
  </si>
  <si>
    <t>*Valor referente a cota parte apurada através de receita de anuidades em dívida ativa, recebido via depósito judicial e identificado no mês de junho.</t>
  </si>
  <si>
    <r>
      <t xml:space="preserve">R$ 125.244,57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R$ 119.947,58</t>
    </r>
  </si>
  <si>
    <t>Período: 01/07/2024 a 31/07/2024</t>
  </si>
  <si>
    <t>SALDO JUNHO/2024</t>
  </si>
  <si>
    <r>
      <t xml:space="preserve">R$ 53.045,89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R$ 51.053,93</t>
    </r>
  </si>
  <si>
    <t>*Valor referente cota-parte apurada em 30/06/2024 sobre arrecadação de dívida ativa identificada em junho/2024 e repassada no dia 18/07/2024.</t>
  </si>
  <si>
    <t>**Valor referente a cota parte apurada através de receita de anuidades em dívida ativa, recebido via depósito judicial e identificado no mês de julho.</t>
  </si>
  <si>
    <t>COTA-PARTE REFERENTE AO MÊS DE JUNHO DE 2024</t>
  </si>
  <si>
    <t>COTA-PARTE REFERENTE AO MÊS DE JULHO DE 2024</t>
  </si>
  <si>
    <t>COTA-PARTE REFERENTE AO MÊS DE AGOSTO DE 2024</t>
  </si>
  <si>
    <t>Período: 01/08/2024 a 31/08/2024</t>
  </si>
  <si>
    <t>SALDO JULHO/2024</t>
  </si>
  <si>
    <r>
      <t xml:space="preserve">R$ 41.725,57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R$ 45.285,47</t>
    </r>
  </si>
  <si>
    <t>*Valor referente cota-parte apurada em 31/07/2024 sobre arrecadação de dívida ativa identificada em julho/2024 e repassada no dia 19/08/2024.</t>
  </si>
  <si>
    <t>**Valor referente a cota parte apurada através de receita de anuidades em dívida ativa, recebido via depósito judicial e identificado no mês de agosto.</t>
  </si>
  <si>
    <t>Período: 01/09/2024 a 30/09/2024</t>
  </si>
  <si>
    <t>SALDO AGOSTO/2024</t>
  </si>
  <si>
    <r>
      <t xml:space="preserve">R$ 43.759,23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R$ 44.647,43</t>
    </r>
  </si>
  <si>
    <t>*Valor referente cota-parte apurada em 31/08/2024 sobre arrecadação de dívida ativa identificada em agosto/2024 e repassada no dia 23/09/2024.</t>
  </si>
  <si>
    <t>**Valor referente a cota parte apurada através de receita de anuidades em dívida ativa, recebido via depósito judicial e identificado no mês de setembro.</t>
  </si>
  <si>
    <t>COTA-PARTE REFERENTE AO MÊS DE SETEMBRO DE 2024</t>
  </si>
  <si>
    <t>COTA-PARTE REFERENTE AO MÊS DE OUTUBRO DE 2024</t>
  </si>
  <si>
    <t>Período: 01/10/2024 a 31/10/2024</t>
  </si>
  <si>
    <t>SALDO SETEMBRO/2024</t>
  </si>
  <si>
    <r>
      <t xml:space="preserve">R$ 49.806,99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R$ 48.627,71</t>
    </r>
  </si>
  <si>
    <t>*Valor referente cota-parte apurada em 30/09/2024 sobre arrecadação de dívida ativa identificada em setembro/2024 e repassada no dia 15/10/2024.</t>
  </si>
  <si>
    <t>**Valor referente a cota parte apurada através de receita de anuidades em dívida ativa, recebido via depósito judicial e identificado no mês de outubro.</t>
  </si>
  <si>
    <t>Período: 01/11/2024 a 30/11/2024</t>
  </si>
  <si>
    <t>COTA-PARTE REFERENTE AO MÊS DE NOVEMBRO DE 2024</t>
  </si>
  <si>
    <t>SALDO OUTUBRO/2024</t>
  </si>
  <si>
    <r>
      <t xml:space="preserve">R$ 19.187,53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R$ 18.859,53.</t>
    </r>
  </si>
  <si>
    <t>*Valor referente cota-parte apurada em 31/10/2024 sobre arrecadação de dívida ativa identificada em outubro/2024 e repassada no dia 18/11/2024.</t>
  </si>
  <si>
    <t>**Valor referente a cota parte apurada através de receita de anuidades em dívida ativa, recebido via depósito judicial e identificado no mês de novembro/2024.</t>
  </si>
  <si>
    <t>Período: 01/12/2024 a 31/12/2024</t>
  </si>
  <si>
    <t>SALDO NOVEMBRO/2024</t>
  </si>
  <si>
    <r>
      <t xml:space="preserve">R$ 50.273,10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R$ 50.640,15.</t>
    </r>
  </si>
  <si>
    <t>*Valor referente cota-parte apurada em 30/11/2024 sobre arrecadação de dívida ativa identificada em novembro/2024 e repassada no dia 17/12/2024.</t>
  </si>
  <si>
    <t>**Valor referente a cota parte apurada através de receita de anuidades em dívida ativa, recebido via depósito judicial e identificado no mês de dezembro/2024.</t>
  </si>
  <si>
    <t>COTA-PARTE REFERENTE AO MÊS DE DEZEMBRO DE 2024</t>
  </si>
  <si>
    <t>Período: 01/01/2025 a 31/01/2025</t>
  </si>
  <si>
    <t>COTA-PARTE REFERENTE AO MÊS DE JANEIRO DE 2025</t>
  </si>
  <si>
    <r>
      <t xml:space="preserve">R$ 249.283,55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R$ 249.283,55.</t>
    </r>
  </si>
  <si>
    <t>Período: 01/02/2025 a 28/02/2025</t>
  </si>
  <si>
    <t>SALDO JANEIRO/2025</t>
  </si>
  <si>
    <r>
      <t xml:space="preserve">R$ 168.797,72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R$ 169.944,31.</t>
    </r>
  </si>
  <si>
    <t>*Valor referente cota-parte apurada em 31/12/2024 sobre arrecadação de dívida ativa identificada em Dezembro/2024 e repassada no dia 17/02/2025.</t>
  </si>
  <si>
    <t>**Valor referente a cota parte apurada através de receita de anuidades em dívida ativa, recebido via depósito judicial e identificado no mês de feveiro/2025.</t>
  </si>
  <si>
    <t>COTA-PARTE REFERENTE AO MÊS DE FEVEREIRO DE 2025</t>
  </si>
  <si>
    <t>COTA-PARTE REFERENTE AO MÊS DE MARÇO DE 2025</t>
  </si>
  <si>
    <t>Período: 01/03/2025 a 31/03/2025</t>
  </si>
  <si>
    <t>SALDO FEVEREIRO/2025</t>
  </si>
  <si>
    <t>*Valor referente a cota parte apurada através de receita de anuidades em dívida ativa, recebido via depósito judicial e identificado no mês de Março*</t>
  </si>
  <si>
    <r>
      <t xml:space="preserve">R$ 56.281,25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R$ 49.797,55</t>
    </r>
  </si>
  <si>
    <t>Período: 01/04/2025 a 30/04/2025</t>
  </si>
  <si>
    <t>COTA-PARTE REFERENTE AO MÊS DE ABRIL DE 2025</t>
  </si>
  <si>
    <t>SALDO ABRIL/2025</t>
  </si>
  <si>
    <r>
      <t xml:space="preserve">R$ 46.442,27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R$ 48.955,28</t>
    </r>
  </si>
  <si>
    <t>* Valor Repasssado ao CFMV referente a Cota-Parte em aberto apurado em março de 2025.</t>
  </si>
  <si>
    <t>**Valor referente a cota parte apurada através de receita de anuidades em dívida ativa, recebido via depósito judicial e identificado no mês de abril/2025</t>
  </si>
  <si>
    <t>Período: 01/05/2025 a 30/05/2025</t>
  </si>
  <si>
    <t>SALDO MAIO/2025</t>
  </si>
  <si>
    <t>* Valor Repasssado ao CFMV referente a Cota-Parte em aberto apurado em Abril de 2025.</t>
  </si>
  <si>
    <t>COTA-PARTE REFERENTE AO MÊS DE MAIO DE 2025</t>
  </si>
  <si>
    <r>
      <t xml:space="preserve">R$ 93.146,65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R$ 98.616,10</t>
    </r>
  </si>
  <si>
    <t>COTA-PARTE REFERENTE AO MÊS DE JUNHO DE 2025</t>
  </si>
  <si>
    <t>Período: 01/06/2025 a 30/06/2025</t>
  </si>
  <si>
    <t>SALDO JUNHO/2025</t>
  </si>
  <si>
    <t>* Valor Repasssado ao CFMV referente a Cota-Parte em aberto apurado em Maio de 2025.</t>
  </si>
  <si>
    <t>**Valor referente a cota parte apurada através de receita de anuidades em dívida ativa, recebido via depósito judicial e identificado no mês de Junho/2025</t>
  </si>
  <si>
    <r>
      <t xml:space="preserve">R$ 118.020,25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R$ 117.269,08</t>
    </r>
  </si>
  <si>
    <t>* Valor Repasssado ao CFMV referente a Cota-Parte em aberto apurado em Junho de 2025.</t>
  </si>
  <si>
    <t>**Valor referente a cota parte apurada através de receita de anuidades em dívida ativa, recebido via depósito judicial e identificado no mês de Julho/2025</t>
  </si>
  <si>
    <r>
      <t xml:space="preserve">R$ 56.259,25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R$ 50.999,08</t>
    </r>
  </si>
  <si>
    <t>Período: 01/07/2025 a 31/07/2025</t>
  </si>
  <si>
    <t>COTA-PARTE REFERENTE AO MÊS DE JULHO DE 2025</t>
  </si>
  <si>
    <t>Período: 01/08/2025 a 31/08/2025</t>
  </si>
  <si>
    <t>SALDO JULHO/2025</t>
  </si>
  <si>
    <r>
      <t xml:space="preserve">R$ 38.036,14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R$ 38.036,14</t>
    </r>
  </si>
  <si>
    <t>* Valor Repasssado ao CFMV referente a Cota-Parte em aberto apurado em Agosto de 2025.</t>
  </si>
  <si>
    <t>**Valor referente a cota parte apurada através de receita de anuidades em dívida ativa, recebido via depósito judicial e identificado no mês de Agosto/2025.</t>
  </si>
  <si>
    <t>COTA-PARTE REFERENTE AO MÊS DE AGOSTO DE 2025</t>
  </si>
  <si>
    <t>Período: 01/09/2025 a 30/09/2025</t>
  </si>
  <si>
    <t>COTA-PARTE REFERENTE AO MÊS DE SETEMBRO DE 2025</t>
  </si>
  <si>
    <t>SALDO AGOSTO/2025</t>
  </si>
  <si>
    <t>* Valor Repasssado ao CFMV referente a Cota-Parte em aberto apurado em Setembro de 2025.</t>
  </si>
  <si>
    <r>
      <t xml:space="preserve">R$ 48.407,54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R$ 48.407,54</t>
    </r>
  </si>
  <si>
    <t>**Valor referente a cota parte apurada através de receita de anuidades em dívida ativa, recebido via depósito judicial e identificado no mês de Setembro/2025.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</si>
</sst>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#,##0.00;[Red]#,##0.00"/>
    <numFmt numFmtId="166" formatCode="_(* #,##0.00_);_(* \(#,##0.00\);_(* &quot;-&quot;??_);_(@_)"/>
    <numFmt numFmtId="167" formatCode="#,##0.00;\(#,##0.00\)"/>
    <numFmt numFmtId="168" formatCode="0.00_ ;[Red]\-0.00\ "/>
  </numFmts>
  <fonts count="14" x14ac:knownFonts="1">
    <font>
      <sz val="11"/>
      <color theme="1"/>
      <name val="Calibri"/>
      <scheme val="minor"/>
    </font>
    <font>
      <sz val="18"/>
      <color theme="1"/>
      <name val="Tahoma"/>
      <family val="2"/>
    </font>
    <font>
      <sz val="11"/>
      <color theme="1"/>
      <name val="Calibri"/>
      <family val="2"/>
    </font>
    <font>
      <sz val="12"/>
      <color theme="1"/>
      <name val="Tahoma"/>
      <family val="2"/>
    </font>
    <font>
      <b/>
      <sz val="8"/>
      <color theme="1"/>
      <name val="Tahoma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9"/>
      <color theme="1"/>
      <name val="Calibri"/>
      <family val="2"/>
    </font>
    <font>
      <b/>
      <sz val="10"/>
      <color theme="1"/>
      <name val="Calibri"/>
      <family val="2"/>
    </font>
    <font>
      <sz val="8"/>
      <name val="Calibri"/>
      <family val="2"/>
      <scheme val="minor"/>
    </font>
    <font>
      <sz val="10"/>
      <color theme="1"/>
      <name val="Calibri"/>
      <family val="2"/>
    </font>
    <font>
      <u/>
      <sz val="11"/>
      <color theme="1"/>
      <name val="Calibri"/>
      <family val="2"/>
    </font>
    <font>
      <sz val="10"/>
      <name val="Calibri"/>
      <family val="2"/>
    </font>
    <font>
      <b/>
      <i/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DD4"/>
        <bgColor rgb="FF548DD4"/>
      </patternFill>
    </fill>
    <fill>
      <patternFill patternType="solid">
        <fgColor rgb="FFF2F2F2"/>
        <bgColor rgb="FFF2F2F2"/>
      </patternFill>
    </fill>
  </fills>
  <borders count="29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72">
    <xf numFmtId="0" fontId="0" fillId="0" borderId="0" xfId="0" applyFont="1" applyAlignment="1"/>
    <xf numFmtId="0" fontId="1" fillId="2" borderId="1" xfId="0" applyFont="1" applyFill="1" applyBorder="1" applyAlignment="1"/>
    <xf numFmtId="0" fontId="2" fillId="2" borderId="1" xfId="0" applyFont="1" applyFill="1" applyBorder="1" applyAlignment="1"/>
    <xf numFmtId="0" fontId="3" fillId="2" borderId="1" xfId="0" applyFont="1" applyFill="1" applyBorder="1" applyAlignment="1"/>
    <xf numFmtId="0" fontId="2" fillId="3" borderId="1" xfId="0" applyFont="1" applyFill="1" applyBorder="1" applyAlignment="1"/>
    <xf numFmtId="0" fontId="3" fillId="3" borderId="1" xfId="0" applyFont="1" applyFill="1" applyBorder="1" applyAlignment="1"/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9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4" fontId="5" fillId="0" borderId="7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4" fontId="5" fillId="0" borderId="11" xfId="0" applyNumberFormat="1" applyFont="1" applyBorder="1" applyAlignment="1"/>
    <xf numFmtId="164" fontId="2" fillId="0" borderId="10" xfId="0" applyNumberFormat="1" applyFont="1" applyBorder="1" applyAlignment="1">
      <alignment horizontal="left"/>
    </xf>
    <xf numFmtId="165" fontId="5" fillId="0" borderId="13" xfId="0" applyNumberFormat="1" applyFont="1" applyBorder="1" applyAlignment="1"/>
    <xf numFmtId="0" fontId="2" fillId="0" borderId="0" xfId="0" applyFont="1"/>
    <xf numFmtId="4" fontId="2" fillId="2" borderId="1" xfId="0" applyNumberFormat="1" applyFont="1" applyFill="1" applyBorder="1" applyAlignment="1"/>
    <xf numFmtId="166" fontId="2" fillId="2" borderId="1" xfId="0" applyNumberFormat="1" applyFont="1" applyFill="1" applyBorder="1" applyAlignment="1"/>
    <xf numFmtId="164" fontId="5" fillId="0" borderId="18" xfId="0" applyNumberFormat="1" applyFont="1" applyBorder="1" applyAlignment="1"/>
    <xf numFmtId="0" fontId="2" fillId="0" borderId="19" xfId="0" applyFont="1" applyBorder="1" applyAlignment="1"/>
    <xf numFmtId="165" fontId="5" fillId="0" borderId="19" xfId="0" applyNumberFormat="1" applyFont="1" applyBorder="1" applyAlignment="1"/>
    <xf numFmtId="0" fontId="4" fillId="2" borderId="1" xfId="0" applyFont="1" applyFill="1" applyBorder="1" applyAlignment="1">
      <alignment horizontal="right"/>
    </xf>
    <xf numFmtId="14" fontId="2" fillId="0" borderId="12" xfId="0" applyNumberFormat="1" applyFont="1" applyBorder="1" applyAlignment="1"/>
    <xf numFmtId="165" fontId="2" fillId="0" borderId="13" xfId="0" applyNumberFormat="1" applyFont="1" applyBorder="1" applyAlignment="1"/>
    <xf numFmtId="165" fontId="2" fillId="0" borderId="14" xfId="0" applyNumberFormat="1" applyFont="1" applyBorder="1" applyAlignment="1"/>
    <xf numFmtId="4" fontId="2" fillId="0" borderId="13" xfId="0" applyNumberFormat="1" applyFont="1" applyBorder="1" applyAlignment="1"/>
    <xf numFmtId="0" fontId="2" fillId="2" borderId="1" xfId="0" applyFont="1" applyFill="1" applyBorder="1" applyAlignment="1">
      <alignment horizontal="right"/>
    </xf>
    <xf numFmtId="0" fontId="2" fillId="0" borderId="10" xfId="0" applyFont="1" applyBorder="1" applyAlignment="1">
      <alignment horizontal="left"/>
    </xf>
    <xf numFmtId="167" fontId="2" fillId="0" borderId="13" xfId="0" applyNumberFormat="1" applyFont="1" applyBorder="1" applyAlignment="1"/>
    <xf numFmtId="0" fontId="2" fillId="2" borderId="16" xfId="0" applyFont="1" applyFill="1" applyBorder="1" applyAlignment="1"/>
    <xf numFmtId="0" fontId="2" fillId="2" borderId="17" xfId="0" applyFont="1" applyFill="1" applyBorder="1" applyAlignment="1"/>
    <xf numFmtId="0" fontId="2" fillId="2" borderId="28" xfId="0" applyFont="1" applyFill="1" applyBorder="1" applyAlignment="1"/>
    <xf numFmtId="0" fontId="2" fillId="2" borderId="28" xfId="0" applyFont="1" applyFill="1" applyBorder="1" applyAlignment="1">
      <alignment horizontal="right"/>
    </xf>
    <xf numFmtId="168" fontId="2" fillId="0" borderId="13" xfId="0" applyNumberFormat="1" applyFont="1" applyBorder="1" applyAlignment="1"/>
    <xf numFmtId="168" fontId="2" fillId="0" borderId="13" xfId="0" applyNumberFormat="1" applyFont="1" applyBorder="1" applyAlignment="1">
      <alignment horizontal="right"/>
    </xf>
    <xf numFmtId="0" fontId="4" fillId="2" borderId="28" xfId="0" applyFont="1" applyFill="1" applyBorder="1" applyAlignment="1">
      <alignment horizontal="right"/>
    </xf>
    <xf numFmtId="0" fontId="11" fillId="2" borderId="1" xfId="0" applyFont="1" applyFill="1" applyBorder="1" applyAlignment="1"/>
    <xf numFmtId="14" fontId="2" fillId="0" borderId="18" xfId="0" applyNumberFormat="1" applyFont="1" applyBorder="1" applyAlignment="1"/>
    <xf numFmtId="165" fontId="2" fillId="0" borderId="19" xfId="0" applyNumberFormat="1" applyFont="1" applyBorder="1" applyAlignment="1"/>
    <xf numFmtId="164" fontId="2" fillId="0" borderId="10" xfId="0" applyNumberFormat="1" applyFont="1" applyFill="1" applyBorder="1" applyAlignment="1">
      <alignment horizontal="left"/>
    </xf>
    <xf numFmtId="4" fontId="2" fillId="2" borderId="28" xfId="0" applyNumberFormat="1" applyFont="1" applyFill="1" applyBorder="1" applyAlignment="1"/>
    <xf numFmtId="0" fontId="8" fillId="2" borderId="22" xfId="0" applyFont="1" applyFill="1" applyBorder="1" applyAlignment="1">
      <alignment horizontal="center"/>
    </xf>
    <xf numFmtId="0" fontId="6" fillId="0" borderId="23" xfId="0" applyFont="1" applyBorder="1"/>
    <xf numFmtId="0" fontId="6" fillId="0" borderId="24" xfId="0" applyFont="1" applyBorder="1"/>
    <xf numFmtId="0" fontId="8" fillId="2" borderId="25" xfId="0" applyFont="1" applyFill="1" applyBorder="1" applyAlignment="1">
      <alignment horizontal="center"/>
    </xf>
    <xf numFmtId="0" fontId="6" fillId="0" borderId="26" xfId="0" applyFont="1" applyBorder="1"/>
    <xf numFmtId="0" fontId="6" fillId="0" borderId="27" xfId="0" applyFont="1" applyBorder="1"/>
    <xf numFmtId="0" fontId="5" fillId="4" borderId="2" xfId="0" applyFont="1" applyFill="1" applyBorder="1" applyAlignment="1">
      <alignment horizontal="center"/>
    </xf>
    <xf numFmtId="0" fontId="6" fillId="0" borderId="3" xfId="0" applyFont="1" applyBorder="1"/>
    <xf numFmtId="0" fontId="6" fillId="0" borderId="4" xfId="0" applyFont="1" applyBorder="1"/>
    <xf numFmtId="0" fontId="2" fillId="0" borderId="9" xfId="0" applyFont="1" applyBorder="1" applyAlignment="1">
      <alignment horizontal="left"/>
    </xf>
    <xf numFmtId="0" fontId="6" fillId="0" borderId="10" xfId="0" applyFont="1" applyBorder="1"/>
    <xf numFmtId="0" fontId="7" fillId="2" borderId="20" xfId="0" applyFont="1" applyFill="1" applyBorder="1" applyAlignment="1">
      <alignment horizontal="center"/>
    </xf>
    <xf numFmtId="0" fontId="6" fillId="0" borderId="15" xfId="0" applyFont="1" applyBorder="1"/>
    <xf numFmtId="0" fontId="6" fillId="0" borderId="21" xfId="0" applyFont="1" applyBorder="1"/>
    <xf numFmtId="0" fontId="8" fillId="2" borderId="22" xfId="0" applyFont="1" applyFill="1" applyBorder="1" applyAlignment="1">
      <alignment horizontal="center" wrapText="1"/>
    </xf>
    <xf numFmtId="0" fontId="6" fillId="0" borderId="23" xfId="0" applyFont="1" applyBorder="1" applyAlignment="1">
      <alignment wrapText="1"/>
    </xf>
    <xf numFmtId="0" fontId="6" fillId="0" borderId="24" xfId="0" applyFont="1" applyBorder="1" applyAlignment="1">
      <alignment wrapText="1"/>
    </xf>
    <xf numFmtId="0" fontId="6" fillId="0" borderId="28" xfId="0" applyFont="1" applyBorder="1" applyAlignment="1">
      <alignment wrapText="1"/>
    </xf>
    <xf numFmtId="0" fontId="6" fillId="0" borderId="28" xfId="0" applyFont="1" applyBorder="1"/>
    <xf numFmtId="0" fontId="10" fillId="2" borderId="20" xfId="0" applyFont="1" applyFill="1" applyBorder="1" applyAlignment="1">
      <alignment horizontal="center"/>
    </xf>
    <xf numFmtId="0" fontId="12" fillId="0" borderId="15" xfId="0" applyFont="1" applyBorder="1"/>
    <xf numFmtId="0" fontId="12" fillId="0" borderId="21" xfId="0" applyFont="1" applyBorder="1"/>
    <xf numFmtId="0" fontId="8" fillId="2" borderId="28" xfId="0" applyFont="1" applyFill="1" applyBorder="1" applyAlignment="1">
      <alignment horizontal="center" wrapText="1"/>
    </xf>
    <xf numFmtId="0" fontId="8" fillId="2" borderId="24" xfId="0" applyFont="1" applyFill="1" applyBorder="1" applyAlignment="1">
      <alignment horizontal="center" wrapText="1"/>
    </xf>
    <xf numFmtId="0" fontId="8" fillId="2" borderId="28" xfId="0" applyFont="1" applyFill="1" applyBorder="1" applyAlignment="1">
      <alignment horizontal="center"/>
    </xf>
    <xf numFmtId="0" fontId="8" fillId="2" borderId="24" xfId="0" applyFont="1" applyFill="1" applyBorder="1" applyAlignment="1">
      <alignment horizontal="center"/>
    </xf>
    <xf numFmtId="4" fontId="13" fillId="0" borderId="11" xfId="0" applyNumberFormat="1" applyFont="1" applyBorder="1" applyAlignment="1"/>
    <xf numFmtId="14" fontId="13" fillId="0" borderId="12" xfId="0" applyNumberFormat="1" applyFont="1" applyBorder="1" applyAlignment="1"/>
    <xf numFmtId="164" fontId="13" fillId="0" borderId="10" xfId="0" applyNumberFormat="1" applyFont="1" applyBorder="1" applyAlignment="1">
      <alignment horizontal="left"/>
    </xf>
    <xf numFmtId="165" fontId="13" fillId="0" borderId="19" xfId="0" applyNumberFormat="1" applyFont="1" applyBorder="1" applyAlignment="1"/>
    <xf numFmtId="165" fontId="13" fillId="0" borderId="13" xfId="0" applyNumberFormat="1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9"/>
  <sheetViews>
    <sheetView topLeftCell="A7" zoomScaleNormal="100" workbookViewId="0">
      <selection activeCell="F31" sqref="F31: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15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28</v>
      </c>
      <c r="C9" s="51"/>
      <c r="D9" s="51"/>
      <c r="E9" s="51"/>
      <c r="F9" s="51"/>
      <c r="G9" s="51"/>
      <c r="H9" s="12">
        <v>7327.01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45294</v>
      </c>
      <c r="C10" s="13" t="s">
        <v>8</v>
      </c>
      <c r="D10" s="23">
        <v>31414.400000000001</v>
      </c>
      <c r="E10" s="23">
        <f t="shared" ref="E10:E38" si="0">D10-F10</f>
        <v>23561.050000000003</v>
      </c>
      <c r="F10" s="23">
        <v>7853.35</v>
      </c>
      <c r="G10" s="23">
        <f t="shared" ref="G10:G30" si="1">F10</f>
        <v>7853.35</v>
      </c>
      <c r="H10" s="12">
        <f t="shared" ref="H10:H37" si="2">H9+F10-G10</f>
        <v>7327.01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3">B10+(MOD(B10,7)=6)*2+1</f>
        <v>45295</v>
      </c>
      <c r="C11" s="13" t="s">
        <v>8</v>
      </c>
      <c r="D11" s="23">
        <v>12613.92</v>
      </c>
      <c r="E11" s="23">
        <f t="shared" si="0"/>
        <v>9460.4700000000012</v>
      </c>
      <c r="F11" s="24">
        <v>3153.45</v>
      </c>
      <c r="G11" s="23">
        <f t="shared" si="1"/>
        <v>3153.45</v>
      </c>
      <c r="H11" s="12">
        <f t="shared" si="2"/>
        <v>7327.0099999999993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45296</v>
      </c>
      <c r="C12" s="13" t="s">
        <v>8</v>
      </c>
      <c r="D12" s="23">
        <v>19088.830000000002</v>
      </c>
      <c r="E12" s="23">
        <f t="shared" si="0"/>
        <v>14316.7</v>
      </c>
      <c r="F12" s="24">
        <v>4772.13</v>
      </c>
      <c r="G12" s="23">
        <f t="shared" si="1"/>
        <v>4772.13</v>
      </c>
      <c r="H12" s="12">
        <f t="shared" si="2"/>
        <v>7327.0099999999993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45299</v>
      </c>
      <c r="C13" s="13" t="s">
        <v>8</v>
      </c>
      <c r="D13" s="23">
        <v>24692.13</v>
      </c>
      <c r="E13" s="23">
        <f t="shared" si="0"/>
        <v>18519.170000000002</v>
      </c>
      <c r="F13" s="24">
        <v>6172.96</v>
      </c>
      <c r="G13" s="23">
        <f t="shared" si="1"/>
        <v>6172.96</v>
      </c>
      <c r="H13" s="12">
        <f t="shared" si="2"/>
        <v>7327.0099999999993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45300</v>
      </c>
      <c r="C14" s="13" t="s">
        <v>8</v>
      </c>
      <c r="D14" s="23">
        <v>48886.01</v>
      </c>
      <c r="E14" s="23">
        <f t="shared" si="0"/>
        <v>36664.67</v>
      </c>
      <c r="F14" s="24">
        <v>12221.34</v>
      </c>
      <c r="G14" s="23">
        <f t="shared" si="1"/>
        <v>12221.34</v>
      </c>
      <c r="H14" s="12">
        <f t="shared" si="2"/>
        <v>7327.0099999999984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45301</v>
      </c>
      <c r="C15" s="13" t="s">
        <v>8</v>
      </c>
      <c r="D15" s="23">
        <v>32361.19</v>
      </c>
      <c r="E15" s="23">
        <f t="shared" si="0"/>
        <v>24270.98</v>
      </c>
      <c r="F15" s="25">
        <v>8090.21</v>
      </c>
      <c r="G15" s="23">
        <f t="shared" si="1"/>
        <v>8090.21</v>
      </c>
      <c r="H15" s="12">
        <f t="shared" si="2"/>
        <v>7327.0099999999975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45302</v>
      </c>
      <c r="C16" s="13" t="s">
        <v>8</v>
      </c>
      <c r="D16" s="23">
        <v>43235.74</v>
      </c>
      <c r="E16" s="23">
        <f t="shared" si="0"/>
        <v>32426.92</v>
      </c>
      <c r="F16" s="25">
        <v>10808.82</v>
      </c>
      <c r="G16" s="23">
        <f t="shared" si="1"/>
        <v>10808.82</v>
      </c>
      <c r="H16" s="12">
        <f t="shared" si="2"/>
        <v>7327.0099999999984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45303</v>
      </c>
      <c r="C17" s="13" t="s">
        <v>8</v>
      </c>
      <c r="D17" s="23">
        <v>22798.2</v>
      </c>
      <c r="E17" s="23">
        <f t="shared" si="0"/>
        <v>17098.73</v>
      </c>
      <c r="F17" s="25">
        <v>5699.47</v>
      </c>
      <c r="G17" s="23">
        <f t="shared" si="1"/>
        <v>5699.47</v>
      </c>
      <c r="H17" s="12">
        <f t="shared" si="2"/>
        <v>7327.0099999999993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45306</v>
      </c>
      <c r="C18" s="13" t="s">
        <v>8</v>
      </c>
      <c r="D18" s="23">
        <v>31371.07</v>
      </c>
      <c r="E18" s="23">
        <f t="shared" si="0"/>
        <v>23528.38</v>
      </c>
      <c r="F18" s="25">
        <v>7842.69</v>
      </c>
      <c r="G18" s="23">
        <f t="shared" si="1"/>
        <v>7842.69</v>
      </c>
      <c r="H18" s="12">
        <f t="shared" si="2"/>
        <v>7327.0099999999993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45307</v>
      </c>
      <c r="C19" s="13" t="s">
        <v>8</v>
      </c>
      <c r="D19" s="23">
        <v>49198.89</v>
      </c>
      <c r="E19" s="23">
        <f t="shared" si="0"/>
        <v>36899.31</v>
      </c>
      <c r="F19" s="25">
        <v>12299.58</v>
      </c>
      <c r="G19" s="23">
        <f t="shared" si="1"/>
        <v>12299.58</v>
      </c>
      <c r="H19" s="12">
        <f t="shared" si="2"/>
        <v>7327.01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45308</v>
      </c>
      <c r="C20" s="13" t="s">
        <v>8</v>
      </c>
      <c r="D20" s="23">
        <v>24263.4</v>
      </c>
      <c r="E20" s="23">
        <f t="shared" si="0"/>
        <v>18197.620000000003</v>
      </c>
      <c r="F20" s="25">
        <v>6065.78</v>
      </c>
      <c r="G20" s="23">
        <f t="shared" si="1"/>
        <v>6065.78</v>
      </c>
      <c r="H20" s="12">
        <f t="shared" si="2"/>
        <v>7327.0100000000011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45309</v>
      </c>
      <c r="C21" s="13" t="s">
        <v>8</v>
      </c>
      <c r="D21" s="23">
        <v>19537.77</v>
      </c>
      <c r="E21" s="23">
        <f t="shared" si="0"/>
        <v>14653.37</v>
      </c>
      <c r="F21" s="25">
        <v>4884.3999999999996</v>
      </c>
      <c r="G21" s="23">
        <f t="shared" si="1"/>
        <v>4884.3999999999996</v>
      </c>
      <c r="H21" s="12">
        <f t="shared" si="2"/>
        <v>7327.01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45310</v>
      </c>
      <c r="C22" s="13" t="s">
        <v>8</v>
      </c>
      <c r="D22" s="23">
        <v>25814.11</v>
      </c>
      <c r="E22" s="23">
        <f t="shared" si="0"/>
        <v>19360.66</v>
      </c>
      <c r="F22" s="25">
        <v>6453.45</v>
      </c>
      <c r="G22" s="23">
        <f t="shared" si="1"/>
        <v>6453.45</v>
      </c>
      <c r="H22" s="12">
        <f t="shared" si="2"/>
        <v>7327.0099999999993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45313</v>
      </c>
      <c r="C23" s="13" t="s">
        <v>8</v>
      </c>
      <c r="D23" s="23">
        <v>15364.87</v>
      </c>
      <c r="E23" s="23">
        <f t="shared" si="0"/>
        <v>11523.7</v>
      </c>
      <c r="F23" s="25">
        <v>3841.17</v>
      </c>
      <c r="G23" s="23">
        <f t="shared" si="1"/>
        <v>3841.17</v>
      </c>
      <c r="H23" s="12">
        <f t="shared" si="2"/>
        <v>7327.01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45314</v>
      </c>
      <c r="C24" s="13" t="s">
        <v>8</v>
      </c>
      <c r="D24" s="23">
        <v>35577.279999999999</v>
      </c>
      <c r="E24" s="23">
        <f t="shared" si="0"/>
        <v>26683.07</v>
      </c>
      <c r="F24" s="25">
        <v>8894.2099999999991</v>
      </c>
      <c r="G24" s="23">
        <f t="shared" si="1"/>
        <v>8894.2099999999991</v>
      </c>
      <c r="H24" s="12">
        <f t="shared" si="2"/>
        <v>7327.01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45315</v>
      </c>
      <c r="C25" s="13" t="s">
        <v>8</v>
      </c>
      <c r="D25" s="23">
        <v>23146.15</v>
      </c>
      <c r="E25" s="23">
        <f t="shared" si="0"/>
        <v>17359.690000000002</v>
      </c>
      <c r="F25" s="25">
        <v>5786.46</v>
      </c>
      <c r="G25" s="23">
        <f t="shared" si="1"/>
        <v>5786.46</v>
      </c>
      <c r="H25" s="12">
        <f t="shared" si="2"/>
        <v>7327.0100000000011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45316</v>
      </c>
      <c r="C26" s="13" t="s">
        <v>8</v>
      </c>
      <c r="D26" s="23">
        <v>24576.28</v>
      </c>
      <c r="E26" s="23">
        <f t="shared" si="0"/>
        <v>18432.309999999998</v>
      </c>
      <c r="F26" s="25">
        <v>6143.97</v>
      </c>
      <c r="G26" s="23">
        <f t="shared" si="1"/>
        <v>6143.97</v>
      </c>
      <c r="H26" s="12">
        <f t="shared" si="2"/>
        <v>7327.0100000000011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45317</v>
      </c>
      <c r="C27" s="13" t="s">
        <v>8</v>
      </c>
      <c r="D27" s="23">
        <v>36882.080000000002</v>
      </c>
      <c r="E27" s="23">
        <f t="shared" si="0"/>
        <v>27661.700000000004</v>
      </c>
      <c r="F27" s="25">
        <v>9220.3799999999992</v>
      </c>
      <c r="G27" s="23">
        <f t="shared" si="1"/>
        <v>9220.3799999999992</v>
      </c>
      <c r="H27" s="12">
        <f t="shared" si="2"/>
        <v>7327.01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45320</v>
      </c>
      <c r="C28" s="13" t="s">
        <v>8</v>
      </c>
      <c r="D28" s="23">
        <v>22213.61</v>
      </c>
      <c r="E28" s="23">
        <f t="shared" si="0"/>
        <v>16660.3</v>
      </c>
      <c r="F28" s="25">
        <v>5553.31</v>
      </c>
      <c r="G28" s="23">
        <f t="shared" si="1"/>
        <v>5553.31</v>
      </c>
      <c r="H28" s="12">
        <f t="shared" si="2"/>
        <v>7327.0099999999993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2">
        <f t="shared" si="3"/>
        <v>45321</v>
      </c>
      <c r="C29" s="13" t="s">
        <v>8</v>
      </c>
      <c r="D29" s="23">
        <v>109703.54</v>
      </c>
      <c r="E29" s="23">
        <f t="shared" si="0"/>
        <v>82277.989999999991</v>
      </c>
      <c r="F29" s="25">
        <v>27425.55</v>
      </c>
      <c r="G29" s="23">
        <f t="shared" si="1"/>
        <v>27425.55</v>
      </c>
      <c r="H29" s="12">
        <f t="shared" si="2"/>
        <v>7327.0099999999984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2">
        <f t="shared" si="3"/>
        <v>45322</v>
      </c>
      <c r="C30" s="13" t="s">
        <v>8</v>
      </c>
      <c r="D30" s="23">
        <v>165300.51</v>
      </c>
      <c r="E30" s="23">
        <f t="shared" si="0"/>
        <v>123976.03</v>
      </c>
      <c r="F30" s="25">
        <v>41324.480000000003</v>
      </c>
      <c r="G30" s="23">
        <f t="shared" si="1"/>
        <v>41324.480000000003</v>
      </c>
      <c r="H30" s="12">
        <f t="shared" si="2"/>
        <v>7327.010000000002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6"/>
      <c r="B31" s="22">
        <v>45322</v>
      </c>
      <c r="C31" s="27" t="s">
        <v>11</v>
      </c>
      <c r="D31" s="23">
        <v>533.84</v>
      </c>
      <c r="E31" s="23">
        <f t="shared" si="0"/>
        <v>400.38</v>
      </c>
      <c r="F31" s="25">
        <v>133.46</v>
      </c>
      <c r="G31" s="23">
        <v>0</v>
      </c>
      <c r="H31" s="12">
        <f t="shared" si="2"/>
        <v>7460.4700000000021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6"/>
      <c r="B32" s="22">
        <v>45322</v>
      </c>
      <c r="C32" s="27" t="s">
        <v>11</v>
      </c>
      <c r="D32" s="28">
        <v>3354.13</v>
      </c>
      <c r="E32" s="28">
        <f t="shared" si="0"/>
        <v>2515.6000000000004</v>
      </c>
      <c r="F32" s="25">
        <v>838.53</v>
      </c>
      <c r="G32" s="23">
        <v>0</v>
      </c>
      <c r="H32" s="12">
        <f>H31+F32-G32</f>
        <v>8299.0000000000018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8299.0000000000018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8299.0000000000018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8299.0000000000018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>
        <v>45291</v>
      </c>
      <c r="C36" s="27" t="s">
        <v>11</v>
      </c>
      <c r="D36" s="23"/>
      <c r="E36" s="23">
        <f t="shared" si="0"/>
        <v>0</v>
      </c>
      <c r="F36" s="25"/>
      <c r="G36" s="23">
        <v>0</v>
      </c>
      <c r="H36" s="12">
        <f t="shared" si="2"/>
        <v>8299.0000000000018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hidden="1" customHeight="1" x14ac:dyDescent="0.25">
      <c r="A37" s="2"/>
      <c r="B37" s="22">
        <v>45291</v>
      </c>
      <c r="C37" s="27" t="s">
        <v>11</v>
      </c>
      <c r="D37" s="23"/>
      <c r="E37" s="23">
        <f t="shared" si="0"/>
        <v>0</v>
      </c>
      <c r="F37" s="25"/>
      <c r="G37" s="23">
        <v>0</v>
      </c>
      <c r="H37" s="12">
        <f t="shared" si="2"/>
        <v>8299.0000000000018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hidden="1" customHeight="1" x14ac:dyDescent="0.25">
      <c r="A38" s="2"/>
      <c r="B38" s="22">
        <f>B30+(MOD(B30,7)=6)*2+1</f>
        <v>45323</v>
      </c>
      <c r="C38" s="13" t="s">
        <v>8</v>
      </c>
      <c r="D38" s="23"/>
      <c r="E38" s="23">
        <f t="shared" si="0"/>
        <v>0</v>
      </c>
      <c r="F38" s="25">
        <f t="shared" ref="F38" si="4">D38*25%</f>
        <v>0</v>
      </c>
      <c r="G38" s="23">
        <f>F38</f>
        <v>0</v>
      </c>
      <c r="H38" s="12">
        <f>H37+F38-G38</f>
        <v>8299.0000000000018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 t="shared" ref="D39:E39" si="5">SUM(D10:D38)</f>
        <v>821927.95000000019</v>
      </c>
      <c r="E39" s="20">
        <f t="shared" si="5"/>
        <v>616448.79999999993</v>
      </c>
      <c r="F39" s="20">
        <f>SUM(F10:F38)</f>
        <v>205479.15</v>
      </c>
      <c r="G39" s="23">
        <f>SUM(G10:G37)</f>
        <v>204507.16</v>
      </c>
      <c r="H39" s="12">
        <f>H38</f>
        <v>8299.0000000000018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2" t="s">
        <v>10</v>
      </c>
      <c r="C40" s="53"/>
      <c r="D40" s="53"/>
      <c r="E40" s="53"/>
      <c r="F40" s="53"/>
      <c r="G40" s="53"/>
      <c r="H40" s="54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1" t="s">
        <v>16</v>
      </c>
      <c r="C41" s="42"/>
      <c r="D41" s="42"/>
      <c r="E41" s="42"/>
      <c r="F41" s="42"/>
      <c r="G41" s="42"/>
      <c r="H41" s="43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55"/>
      <c r="C42" s="42"/>
      <c r="D42" s="42"/>
      <c r="E42" s="42"/>
      <c r="F42" s="42"/>
      <c r="G42" s="42"/>
      <c r="H42" s="43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9"/>
      <c r="B43" s="55"/>
      <c r="C43" s="42"/>
      <c r="D43" s="42"/>
      <c r="E43" s="42"/>
      <c r="F43" s="42"/>
      <c r="G43" s="42"/>
      <c r="H43" s="43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9"/>
      <c r="B44" s="41"/>
      <c r="C44" s="42"/>
      <c r="D44" s="42"/>
      <c r="E44" s="42"/>
      <c r="F44" s="42"/>
      <c r="G44" s="42"/>
      <c r="H44" s="43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thickBot="1" x14ac:dyDescent="0.3">
      <c r="A45" s="29"/>
      <c r="B45" s="44"/>
      <c r="C45" s="45"/>
      <c r="D45" s="45"/>
      <c r="E45" s="45"/>
      <c r="F45" s="45"/>
      <c r="G45" s="45"/>
      <c r="H45" s="46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6EDC7-3730-4668-92D2-E5BD7F2EC42F}">
  <dimension ref="A1:Z1006"/>
  <sheetViews>
    <sheetView topLeftCell="A16" zoomScale="124" zoomScaleNormal="124" workbookViewId="0">
      <selection activeCell="B43" sqref="B4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71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73</v>
      </c>
      <c r="C9" s="51"/>
      <c r="D9" s="51"/>
      <c r="E9" s="51"/>
      <c r="F9" s="51"/>
      <c r="G9" s="51"/>
      <c r="H9" s="12">
        <v>1546.59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45566</v>
      </c>
      <c r="C10" s="13" t="s">
        <v>8</v>
      </c>
      <c r="D10" s="23">
        <v>55049.38</v>
      </c>
      <c r="E10" s="23">
        <f>D10-F10</f>
        <v>41287.369999999995</v>
      </c>
      <c r="F10" s="23">
        <v>13762.01</v>
      </c>
      <c r="G10" s="23">
        <f t="shared" ref="G10:G35" si="0">F10</f>
        <v>13762.01</v>
      </c>
      <c r="H10" s="12">
        <f t="shared" ref="H10:H28" si="1">H9+F10-G10</f>
        <v>1546.5900000000001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45567</v>
      </c>
      <c r="C11" s="13" t="s">
        <v>8</v>
      </c>
      <c r="D11" s="23">
        <v>3280.26</v>
      </c>
      <c r="E11" s="23">
        <f t="shared" ref="E11:E35" si="3">D11-F11</f>
        <v>2460.2000000000003</v>
      </c>
      <c r="F11" s="24">
        <v>820.06</v>
      </c>
      <c r="G11" s="23">
        <f t="shared" si="0"/>
        <v>820.06</v>
      </c>
      <c r="H11" s="12">
        <f t="shared" si="1"/>
        <v>1546.5900000000001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45568</v>
      </c>
      <c r="C12" s="13" t="s">
        <v>8</v>
      </c>
      <c r="D12" s="23">
        <v>3542.83</v>
      </c>
      <c r="E12" s="23">
        <f t="shared" si="3"/>
        <v>2657.16</v>
      </c>
      <c r="F12" s="24">
        <v>885.67</v>
      </c>
      <c r="G12" s="23">
        <f t="shared" si="0"/>
        <v>885.67</v>
      </c>
      <c r="H12" s="12">
        <f t="shared" si="1"/>
        <v>1546.5900000000001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45569</v>
      </c>
      <c r="C13" s="13" t="s">
        <v>8</v>
      </c>
      <c r="D13" s="23">
        <v>9175.2099999999991</v>
      </c>
      <c r="E13" s="23">
        <f t="shared" si="3"/>
        <v>6881.4699999999993</v>
      </c>
      <c r="F13" s="24">
        <v>2293.7399999999998</v>
      </c>
      <c r="G13" s="23">
        <f t="shared" si="0"/>
        <v>2293.7399999999998</v>
      </c>
      <c r="H13" s="12">
        <f t="shared" si="1"/>
        <v>1546.5900000000001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45572</v>
      </c>
      <c r="C14" s="13" t="s">
        <v>8</v>
      </c>
      <c r="D14" s="23">
        <v>5214.2299999999996</v>
      </c>
      <c r="E14" s="23">
        <f t="shared" si="3"/>
        <v>3910.74</v>
      </c>
      <c r="F14" s="24">
        <v>1303.49</v>
      </c>
      <c r="G14" s="23">
        <f t="shared" si="0"/>
        <v>1303.49</v>
      </c>
      <c r="H14" s="12">
        <f t="shared" si="1"/>
        <v>1546.59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45573</v>
      </c>
      <c r="C15" s="13" t="s">
        <v>8</v>
      </c>
      <c r="D15" s="23">
        <v>6843.21</v>
      </c>
      <c r="E15" s="23">
        <f t="shared" si="3"/>
        <v>5132.51</v>
      </c>
      <c r="F15" s="25">
        <v>1710.7</v>
      </c>
      <c r="G15" s="23">
        <f t="shared" si="0"/>
        <v>1710.7</v>
      </c>
      <c r="H15" s="12">
        <f t="shared" si="1"/>
        <v>1546.59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45574</v>
      </c>
      <c r="C16" s="13" t="s">
        <v>8</v>
      </c>
      <c r="D16" s="23">
        <v>5168.33</v>
      </c>
      <c r="E16" s="23">
        <f t="shared" si="3"/>
        <v>3876.3</v>
      </c>
      <c r="F16" s="25">
        <v>1292.03</v>
      </c>
      <c r="G16" s="23">
        <f t="shared" si="0"/>
        <v>1292.03</v>
      </c>
      <c r="H16" s="12">
        <f t="shared" si="1"/>
        <v>1546.59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45575</v>
      </c>
      <c r="C17" s="13" t="s">
        <v>8</v>
      </c>
      <c r="D17" s="23">
        <v>1558.91</v>
      </c>
      <c r="E17" s="23">
        <f t="shared" si="3"/>
        <v>1169.21</v>
      </c>
      <c r="F17" s="25">
        <v>389.7</v>
      </c>
      <c r="G17" s="23">
        <f t="shared" si="0"/>
        <v>389.7</v>
      </c>
      <c r="H17" s="12">
        <f t="shared" si="1"/>
        <v>1546.59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45576</v>
      </c>
      <c r="C18" s="13" t="s">
        <v>8</v>
      </c>
      <c r="D18" s="23">
        <v>8908.2800000000007</v>
      </c>
      <c r="E18" s="23">
        <f t="shared" si="3"/>
        <v>6681.2800000000007</v>
      </c>
      <c r="F18" s="25">
        <v>2227</v>
      </c>
      <c r="G18" s="23">
        <f t="shared" si="0"/>
        <v>2227</v>
      </c>
      <c r="H18" s="12">
        <f t="shared" si="1"/>
        <v>1546.5900000000001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45579</v>
      </c>
      <c r="C19" s="13" t="s">
        <v>8</v>
      </c>
      <c r="D19" s="23">
        <v>2518.13</v>
      </c>
      <c r="E19" s="23">
        <f t="shared" si="3"/>
        <v>1888.6200000000001</v>
      </c>
      <c r="F19" s="25">
        <v>629.51</v>
      </c>
      <c r="G19" s="23">
        <f t="shared" si="0"/>
        <v>629.51</v>
      </c>
      <c r="H19" s="12">
        <f t="shared" si="1"/>
        <v>1546.5900000000004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45580</v>
      </c>
      <c r="C20" s="13" t="s">
        <v>8</v>
      </c>
      <c r="D20" s="23">
        <v>9786.52</v>
      </c>
      <c r="E20" s="23">
        <f t="shared" si="3"/>
        <v>7339.92</v>
      </c>
      <c r="F20" s="25">
        <v>2446.6</v>
      </c>
      <c r="G20" s="23">
        <f t="shared" si="0"/>
        <v>2446.6</v>
      </c>
      <c r="H20" s="12">
        <f t="shared" si="1"/>
        <v>1546.5900000000006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45581</v>
      </c>
      <c r="C21" s="13" t="s">
        <v>8</v>
      </c>
      <c r="D21" s="23">
        <v>1266.82</v>
      </c>
      <c r="E21" s="23">
        <f t="shared" si="3"/>
        <v>950.12999999999988</v>
      </c>
      <c r="F21" s="25">
        <v>316.69</v>
      </c>
      <c r="G21" s="23">
        <f t="shared" si="0"/>
        <v>316.69</v>
      </c>
      <c r="H21" s="12">
        <f t="shared" si="1"/>
        <v>1546.5900000000006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45582</v>
      </c>
      <c r="C22" s="13" t="s">
        <v>8</v>
      </c>
      <c r="D22" s="23">
        <v>1658.25</v>
      </c>
      <c r="E22" s="23">
        <f t="shared" si="3"/>
        <v>1243.7</v>
      </c>
      <c r="F22" s="25">
        <v>414.55</v>
      </c>
      <c r="G22" s="23">
        <f t="shared" si="0"/>
        <v>414.55</v>
      </c>
      <c r="H22" s="12">
        <f t="shared" si="1"/>
        <v>1546.5900000000006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45583</v>
      </c>
      <c r="C23" s="13" t="s">
        <v>8</v>
      </c>
      <c r="D23" s="23">
        <v>2938.87</v>
      </c>
      <c r="E23" s="23">
        <f t="shared" si="3"/>
        <v>2204.1799999999998</v>
      </c>
      <c r="F23" s="25">
        <v>734.69</v>
      </c>
      <c r="G23" s="23">
        <f t="shared" si="0"/>
        <v>734.69</v>
      </c>
      <c r="H23" s="12">
        <f t="shared" si="1"/>
        <v>1546.5900000000006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45586</v>
      </c>
      <c r="C24" s="13" t="s">
        <v>8</v>
      </c>
      <c r="D24" s="23">
        <v>6023.22</v>
      </c>
      <c r="E24" s="23">
        <f t="shared" si="3"/>
        <v>4517.4400000000005</v>
      </c>
      <c r="F24" s="25">
        <v>1505.78</v>
      </c>
      <c r="G24" s="23">
        <f t="shared" si="0"/>
        <v>1505.78</v>
      </c>
      <c r="H24" s="12">
        <f t="shared" si="1"/>
        <v>1546.5900000000008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45587</v>
      </c>
      <c r="C25" s="13" t="s">
        <v>8</v>
      </c>
      <c r="D25" s="23">
        <v>4029.45</v>
      </c>
      <c r="E25" s="23">
        <f t="shared" si="3"/>
        <v>3022.12</v>
      </c>
      <c r="F25" s="25">
        <v>1007.33</v>
      </c>
      <c r="G25" s="23">
        <f t="shared" si="0"/>
        <v>1007.33</v>
      </c>
      <c r="H25" s="12">
        <f t="shared" si="1"/>
        <v>1546.5900000000011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45588</v>
      </c>
      <c r="C26" s="13" t="s">
        <v>8</v>
      </c>
      <c r="D26" s="23">
        <v>4164.6400000000003</v>
      </c>
      <c r="E26" s="23">
        <f t="shared" si="3"/>
        <v>3123.4900000000002</v>
      </c>
      <c r="F26" s="25">
        <v>1041.1500000000001</v>
      </c>
      <c r="G26" s="23">
        <f t="shared" si="0"/>
        <v>1041.1500000000001</v>
      </c>
      <c r="H26" s="12">
        <f t="shared" si="1"/>
        <v>1546.5900000000011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45589</v>
      </c>
      <c r="C27" s="13" t="s">
        <v>8</v>
      </c>
      <c r="D27" s="23">
        <v>5649.17</v>
      </c>
      <c r="E27" s="23">
        <f t="shared" si="3"/>
        <v>4236.8900000000003</v>
      </c>
      <c r="F27" s="25">
        <v>1412.28</v>
      </c>
      <c r="G27" s="23">
        <f t="shared" si="0"/>
        <v>1412.28</v>
      </c>
      <c r="H27" s="12">
        <f t="shared" si="1"/>
        <v>1546.5900000000008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45590</v>
      </c>
      <c r="C28" s="13" t="s">
        <v>8</v>
      </c>
      <c r="D28" s="23">
        <v>2388.34</v>
      </c>
      <c r="E28" s="23">
        <f t="shared" si="3"/>
        <v>1791.27</v>
      </c>
      <c r="F28" s="25">
        <v>597.07000000000005</v>
      </c>
      <c r="G28" s="23">
        <f t="shared" si="0"/>
        <v>597.07000000000005</v>
      </c>
      <c r="H28" s="12">
        <f t="shared" si="1"/>
        <v>1546.5900000000006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45593</v>
      </c>
      <c r="C29" s="13" t="s">
        <v>8</v>
      </c>
      <c r="D29" s="23">
        <v>4103.3599999999997</v>
      </c>
      <c r="E29" s="23">
        <f>D29-F29</f>
        <v>3077.54</v>
      </c>
      <c r="F29" s="25">
        <v>1025.82</v>
      </c>
      <c r="G29" s="23">
        <f>F29</f>
        <v>1025.82</v>
      </c>
      <c r="H29" s="12">
        <f>H28+F29-G29</f>
        <v>1546.5900000000008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45594</v>
      </c>
      <c r="C30" s="13" t="s">
        <v>8</v>
      </c>
      <c r="D30" s="23">
        <v>2617.25</v>
      </c>
      <c r="E30" s="23">
        <f t="shared" si="3"/>
        <v>1962.95</v>
      </c>
      <c r="F30" s="25">
        <v>654.29999999999995</v>
      </c>
      <c r="G30" s="23">
        <f t="shared" ref="G30:G32" si="4">F30</f>
        <v>654.29999999999995</v>
      </c>
      <c r="H30" s="12">
        <f t="shared" ref="H30:H32" si="5">H29+F30-G30</f>
        <v>1546.5900000000008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2"/>
        <v>45595</v>
      </c>
      <c r="C31" s="13" t="s">
        <v>8</v>
      </c>
      <c r="D31" s="23">
        <v>10051.81</v>
      </c>
      <c r="E31" s="23">
        <f t="shared" si="3"/>
        <v>7538.92</v>
      </c>
      <c r="F31" s="25">
        <v>2512.89</v>
      </c>
      <c r="G31" s="23">
        <f t="shared" si="4"/>
        <v>2512.89</v>
      </c>
      <c r="H31" s="12">
        <f t="shared" si="5"/>
        <v>1546.5900000000006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2"/>
        <v>45596</v>
      </c>
      <c r="C32" s="13" t="s">
        <v>8</v>
      </c>
      <c r="D32" s="23">
        <v>32393.19</v>
      </c>
      <c r="E32" s="23">
        <f t="shared" si="3"/>
        <v>24295.129999999997</v>
      </c>
      <c r="F32" s="25">
        <v>8098.06</v>
      </c>
      <c r="G32" s="23">
        <f t="shared" si="4"/>
        <v>8098.06</v>
      </c>
      <c r="H32" s="12">
        <f t="shared" si="5"/>
        <v>1546.5900000000011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45580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1546.59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45596</v>
      </c>
      <c r="C34" s="27" t="s">
        <v>11</v>
      </c>
      <c r="D34" s="23">
        <v>10903.47</v>
      </c>
      <c r="E34" s="23">
        <f>D34-F34</f>
        <v>8177.5999999999995</v>
      </c>
      <c r="F34" s="25">
        <v>2725.87</v>
      </c>
      <c r="G34" s="23">
        <v>0</v>
      </c>
      <c r="H34" s="12">
        <f>H33+F34-G34</f>
        <v>2725.87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2725.87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199233.13</v>
      </c>
      <c r="E36" s="20">
        <f>SUM(E10:E35)</f>
        <v>149426.13999999998</v>
      </c>
      <c r="F36" s="20">
        <f>SUM(F10:F35)</f>
        <v>49806.99</v>
      </c>
      <c r="G36" s="14">
        <f>SUM(G10:G35)</f>
        <v>48627.709999999992</v>
      </c>
      <c r="H36" s="12">
        <f>+H35</f>
        <v>2725.87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2" t="s">
        <v>10</v>
      </c>
      <c r="C37" s="53"/>
      <c r="D37" s="53"/>
      <c r="E37" s="53"/>
      <c r="F37" s="53"/>
      <c r="G37" s="53"/>
      <c r="H37" s="54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1" t="s">
        <v>74</v>
      </c>
      <c r="C38" s="42"/>
      <c r="D38" s="42"/>
      <c r="E38" s="42"/>
      <c r="F38" s="42"/>
      <c r="G38" s="42"/>
      <c r="H38" s="4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5" t="s">
        <v>75</v>
      </c>
      <c r="C39" s="59"/>
      <c r="D39" s="59"/>
      <c r="E39" s="59"/>
      <c r="F39" s="59"/>
      <c r="G39" s="59"/>
      <c r="H39" s="43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5" t="s">
        <v>76</v>
      </c>
      <c r="C40" s="42"/>
      <c r="D40" s="42"/>
      <c r="E40" s="42"/>
      <c r="F40" s="42"/>
      <c r="G40" s="42"/>
      <c r="H40" s="4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5"/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4"/>
      <c r="C42" s="45"/>
      <c r="D42" s="45"/>
      <c r="E42" s="45"/>
      <c r="F42" s="45"/>
      <c r="G42" s="45"/>
      <c r="H42" s="46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94B39-6212-4F34-92C1-07F158697E19}">
  <dimension ref="A1:Z1006"/>
  <sheetViews>
    <sheetView topLeftCell="A13" zoomScale="124" zoomScaleNormal="124" workbookViewId="0">
      <selection activeCell="H10" sqref="H1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18.710937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78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79</v>
      </c>
      <c r="C9" s="51"/>
      <c r="D9" s="51"/>
      <c r="E9" s="51"/>
      <c r="F9" s="51"/>
      <c r="G9" s="51"/>
      <c r="H9" s="12">
        <v>2725.87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45597</v>
      </c>
      <c r="C10" s="13" t="s">
        <v>8</v>
      </c>
      <c r="D10" s="23">
        <v>6931.73</v>
      </c>
      <c r="E10" s="23">
        <f>D10-F10</f>
        <v>5198.8499999999995</v>
      </c>
      <c r="F10" s="23">
        <v>1732.88</v>
      </c>
      <c r="G10" s="23">
        <f t="shared" ref="G10:G35" si="0">F10</f>
        <v>1732.88</v>
      </c>
      <c r="H10" s="12">
        <f t="shared" ref="H10:H28" si="1">H9+F10-G10</f>
        <v>2725.87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45600</v>
      </c>
      <c r="C11" s="13" t="s">
        <v>8</v>
      </c>
      <c r="D11" s="23">
        <v>2658.4</v>
      </c>
      <c r="E11" s="23">
        <f t="shared" ref="E11:E35" si="3">D11-F11</f>
        <v>1993.83</v>
      </c>
      <c r="F11" s="24">
        <v>664.57</v>
      </c>
      <c r="G11" s="23">
        <f t="shared" si="0"/>
        <v>664.57</v>
      </c>
      <c r="H11" s="12">
        <f t="shared" si="1"/>
        <v>2725.87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45601</v>
      </c>
      <c r="C12" s="13" t="s">
        <v>8</v>
      </c>
      <c r="D12" s="23">
        <v>5043.2</v>
      </c>
      <c r="E12" s="23">
        <f t="shared" si="3"/>
        <v>3782.43</v>
      </c>
      <c r="F12" s="24">
        <v>1260.77</v>
      </c>
      <c r="G12" s="23">
        <f t="shared" si="0"/>
        <v>1260.77</v>
      </c>
      <c r="H12" s="12">
        <f t="shared" si="1"/>
        <v>2725.87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45602</v>
      </c>
      <c r="C13" s="13" t="s">
        <v>8</v>
      </c>
      <c r="D13" s="23">
        <v>1992.83</v>
      </c>
      <c r="E13" s="23">
        <f t="shared" si="3"/>
        <v>1494.6499999999999</v>
      </c>
      <c r="F13" s="24">
        <v>498.18</v>
      </c>
      <c r="G13" s="23">
        <f t="shared" si="0"/>
        <v>498.18</v>
      </c>
      <c r="H13" s="12">
        <f t="shared" si="1"/>
        <v>2725.87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45603</v>
      </c>
      <c r="C14" s="13" t="s">
        <v>8</v>
      </c>
      <c r="D14" s="23">
        <v>1295.6500000000001</v>
      </c>
      <c r="E14" s="23">
        <f t="shared" si="3"/>
        <v>971.74</v>
      </c>
      <c r="F14" s="24">
        <v>323.91000000000003</v>
      </c>
      <c r="G14" s="23">
        <f t="shared" si="0"/>
        <v>323.91000000000003</v>
      </c>
      <c r="H14" s="12">
        <f t="shared" si="1"/>
        <v>2725.87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45604</v>
      </c>
      <c r="C15" s="13" t="s">
        <v>8</v>
      </c>
      <c r="D15" s="23">
        <v>3281.92</v>
      </c>
      <c r="E15" s="23">
        <f t="shared" si="3"/>
        <v>2461.46</v>
      </c>
      <c r="F15" s="25">
        <v>820.46</v>
      </c>
      <c r="G15" s="23">
        <f t="shared" si="0"/>
        <v>820.46</v>
      </c>
      <c r="H15" s="12">
        <f t="shared" si="1"/>
        <v>2725.87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45607</v>
      </c>
      <c r="C16" s="13" t="s">
        <v>8</v>
      </c>
      <c r="D16" s="23">
        <v>2887.69</v>
      </c>
      <c r="E16" s="23">
        <f t="shared" si="3"/>
        <v>2165.81</v>
      </c>
      <c r="F16" s="25">
        <v>721.88</v>
      </c>
      <c r="G16" s="23">
        <f t="shared" si="0"/>
        <v>721.88</v>
      </c>
      <c r="H16" s="12">
        <f t="shared" si="1"/>
        <v>2725.87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45608</v>
      </c>
      <c r="C17" s="13" t="s">
        <v>8</v>
      </c>
      <c r="D17" s="23">
        <v>5134.0200000000004</v>
      </c>
      <c r="E17" s="23">
        <f t="shared" si="3"/>
        <v>3850.5600000000004</v>
      </c>
      <c r="F17" s="25">
        <v>1283.46</v>
      </c>
      <c r="G17" s="23">
        <f t="shared" si="0"/>
        <v>1283.46</v>
      </c>
      <c r="H17" s="12">
        <f t="shared" si="1"/>
        <v>2725.87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45609</v>
      </c>
      <c r="C18" s="13" t="s">
        <v>8</v>
      </c>
      <c r="D18" s="23">
        <v>1203.6600000000001</v>
      </c>
      <c r="E18" s="23">
        <f t="shared" si="3"/>
        <v>902.7600000000001</v>
      </c>
      <c r="F18" s="25">
        <v>300.89999999999998</v>
      </c>
      <c r="G18" s="23">
        <f t="shared" si="0"/>
        <v>300.89999999999998</v>
      </c>
      <c r="H18" s="12">
        <f t="shared" si="1"/>
        <v>2725.87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45610</v>
      </c>
      <c r="C19" s="13" t="s">
        <v>8</v>
      </c>
      <c r="D19" s="23">
        <v>2107.15</v>
      </c>
      <c r="E19" s="23">
        <f t="shared" si="3"/>
        <v>1580.39</v>
      </c>
      <c r="F19" s="25">
        <v>526.76</v>
      </c>
      <c r="G19" s="23">
        <f t="shared" si="0"/>
        <v>526.76</v>
      </c>
      <c r="H19" s="12">
        <f t="shared" si="1"/>
        <v>2725.87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idden="1" x14ac:dyDescent="0.25">
      <c r="A20" s="2"/>
      <c r="B20" s="22">
        <f t="shared" si="2"/>
        <v>45611</v>
      </c>
      <c r="C20" s="13" t="s">
        <v>8</v>
      </c>
      <c r="D20" s="23">
        <v>0</v>
      </c>
      <c r="E20" s="23">
        <f t="shared" si="3"/>
        <v>0</v>
      </c>
      <c r="F20" s="25">
        <v>0</v>
      </c>
      <c r="G20" s="23">
        <f t="shared" si="0"/>
        <v>0</v>
      </c>
      <c r="H20" s="12">
        <f t="shared" si="1"/>
        <v>2725.87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45614</v>
      </c>
      <c r="C21" s="13" t="s">
        <v>8</v>
      </c>
      <c r="D21" s="23">
        <v>2009.44</v>
      </c>
      <c r="E21" s="23">
        <f t="shared" si="3"/>
        <v>1507.0900000000001</v>
      </c>
      <c r="F21" s="25">
        <v>502.35</v>
      </c>
      <c r="G21" s="23">
        <f t="shared" si="0"/>
        <v>502.35</v>
      </c>
      <c r="H21" s="12">
        <f>H20+F21-G21</f>
        <v>2725.87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45615</v>
      </c>
      <c r="C22" s="13" t="s">
        <v>8</v>
      </c>
      <c r="D22" s="23">
        <v>1670.5</v>
      </c>
      <c r="E22" s="23">
        <f t="shared" si="3"/>
        <v>1252.8899999999999</v>
      </c>
      <c r="F22" s="25">
        <v>417.61</v>
      </c>
      <c r="G22" s="23">
        <f t="shared" si="0"/>
        <v>417.61</v>
      </c>
      <c r="H22" s="12">
        <f t="shared" si="1"/>
        <v>2725.87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hidden="1" customHeight="1" x14ac:dyDescent="0.25">
      <c r="A23" s="2"/>
      <c r="B23" s="22">
        <f t="shared" si="2"/>
        <v>45616</v>
      </c>
      <c r="C23" s="13" t="s">
        <v>8</v>
      </c>
      <c r="D23" s="23">
        <v>0</v>
      </c>
      <c r="E23" s="23">
        <f t="shared" si="3"/>
        <v>0</v>
      </c>
      <c r="F23" s="25">
        <v>0</v>
      </c>
      <c r="G23" s="23">
        <f t="shared" si="0"/>
        <v>0</v>
      </c>
      <c r="H23" s="12">
        <f t="shared" si="1"/>
        <v>2725.87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45617</v>
      </c>
      <c r="C24" s="13" t="s">
        <v>8</v>
      </c>
      <c r="D24" s="23">
        <v>2851.99</v>
      </c>
      <c r="E24" s="23">
        <f t="shared" si="3"/>
        <v>2139.0199999999995</v>
      </c>
      <c r="F24" s="25">
        <v>712.97</v>
      </c>
      <c r="G24" s="23">
        <f t="shared" si="0"/>
        <v>712.97</v>
      </c>
      <c r="H24" s="12">
        <f t="shared" si="1"/>
        <v>2725.87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45618</v>
      </c>
      <c r="C25" s="13" t="s">
        <v>8</v>
      </c>
      <c r="D25" s="23">
        <v>1280.31</v>
      </c>
      <c r="E25" s="23">
        <f t="shared" si="3"/>
        <v>960.24</v>
      </c>
      <c r="F25" s="25">
        <v>320.07</v>
      </c>
      <c r="G25" s="23">
        <f t="shared" si="0"/>
        <v>320.07</v>
      </c>
      <c r="H25" s="12">
        <f t="shared" si="1"/>
        <v>2725.87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45621</v>
      </c>
      <c r="C26" s="13" t="s">
        <v>8</v>
      </c>
      <c r="D26" s="23">
        <v>4311.75</v>
      </c>
      <c r="E26" s="23">
        <f t="shared" si="3"/>
        <v>3233.87</v>
      </c>
      <c r="F26" s="25">
        <v>1077.8800000000001</v>
      </c>
      <c r="G26" s="23">
        <f t="shared" si="0"/>
        <v>1077.8800000000001</v>
      </c>
      <c r="H26" s="12">
        <f t="shared" si="1"/>
        <v>2725.87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45622</v>
      </c>
      <c r="C27" s="13" t="s">
        <v>8</v>
      </c>
      <c r="D27" s="23">
        <v>1319.43</v>
      </c>
      <c r="E27" s="23">
        <f t="shared" si="3"/>
        <v>989.60000000000014</v>
      </c>
      <c r="F27" s="25">
        <v>329.83</v>
      </c>
      <c r="G27" s="23">
        <f t="shared" si="0"/>
        <v>329.83</v>
      </c>
      <c r="H27" s="12">
        <f t="shared" si="1"/>
        <v>2725.87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45623</v>
      </c>
      <c r="C28" s="13" t="s">
        <v>8</v>
      </c>
      <c r="D28" s="23">
        <v>2984.7</v>
      </c>
      <c r="E28" s="23">
        <f t="shared" si="3"/>
        <v>2238.54</v>
      </c>
      <c r="F28" s="25">
        <v>746.16</v>
      </c>
      <c r="G28" s="23">
        <f t="shared" si="0"/>
        <v>746.16</v>
      </c>
      <c r="H28" s="12">
        <f t="shared" si="1"/>
        <v>2725.87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45624</v>
      </c>
      <c r="C29" s="13" t="s">
        <v>8</v>
      </c>
      <c r="D29" s="23">
        <v>11756.07</v>
      </c>
      <c r="E29" s="23">
        <f>D29-F29</f>
        <v>8817.1</v>
      </c>
      <c r="F29" s="25">
        <v>2938.97</v>
      </c>
      <c r="G29" s="23">
        <f>F29</f>
        <v>2938.97</v>
      </c>
      <c r="H29" s="12">
        <f>H28+F29-G29</f>
        <v>2725.8700000000003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45625</v>
      </c>
      <c r="C30" s="13" t="s">
        <v>8</v>
      </c>
      <c r="D30" s="23">
        <v>3816.34</v>
      </c>
      <c r="E30" s="23">
        <f t="shared" si="3"/>
        <v>2862.29</v>
      </c>
      <c r="F30" s="25">
        <v>954.05</v>
      </c>
      <c r="G30" s="23">
        <f t="shared" ref="G30:G32" si="4">F30</f>
        <v>954.05</v>
      </c>
      <c r="H30" s="12">
        <f t="shared" ref="H30:H32" si="5">H29+F30-G30</f>
        <v>2725.87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45628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2725.87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45629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2725.87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45614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2725.87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45625</v>
      </c>
      <c r="C34" s="27" t="s">
        <v>11</v>
      </c>
      <c r="D34" s="23">
        <v>12215.48</v>
      </c>
      <c r="E34" s="23">
        <f>D34-F34</f>
        <v>9161.61</v>
      </c>
      <c r="F34" s="25">
        <f>0.25*D34</f>
        <v>3053.87</v>
      </c>
      <c r="G34" s="23">
        <v>0</v>
      </c>
      <c r="H34" s="12">
        <f>H33+F34-G34</f>
        <v>3053.87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3053.87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76752.25999999998</v>
      </c>
      <c r="E36" s="20">
        <f>SUM(E10:E35)</f>
        <v>57564.73</v>
      </c>
      <c r="F36" s="20">
        <f>SUM(F10:F35)</f>
        <v>19187.53</v>
      </c>
      <c r="G36" s="14">
        <f>SUM(G10:G35)</f>
        <v>18859.53</v>
      </c>
      <c r="H36" s="12">
        <f>+H35</f>
        <v>3053.87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0" t="s">
        <v>10</v>
      </c>
      <c r="C37" s="61"/>
      <c r="D37" s="61"/>
      <c r="E37" s="61"/>
      <c r="F37" s="61"/>
      <c r="G37" s="61"/>
      <c r="H37" s="62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1" t="s">
        <v>80</v>
      </c>
      <c r="C38" s="42"/>
      <c r="D38" s="42"/>
      <c r="E38" s="42"/>
      <c r="F38" s="42"/>
      <c r="G38" s="42"/>
      <c r="H38" s="4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5" t="s">
        <v>81</v>
      </c>
      <c r="C39" s="59"/>
      <c r="D39" s="59"/>
      <c r="E39" s="59"/>
      <c r="F39" s="59"/>
      <c r="G39" s="59"/>
      <c r="H39" s="43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5" t="s">
        <v>82</v>
      </c>
      <c r="C40" s="42"/>
      <c r="D40" s="42"/>
      <c r="E40" s="42"/>
      <c r="F40" s="42"/>
      <c r="G40" s="42"/>
      <c r="H40" s="4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5"/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4"/>
      <c r="C42" s="45"/>
      <c r="D42" s="45"/>
      <c r="E42" s="45"/>
      <c r="F42" s="45"/>
      <c r="G42" s="45"/>
      <c r="H42" s="46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8F909-BF05-4B80-A6C1-CF60D1564BC1}">
  <dimension ref="A1:Z1005"/>
  <sheetViews>
    <sheetView topLeftCell="A13" zoomScale="110" zoomScaleNormal="110" workbookViewId="0">
      <selection activeCell="B39" sqref="B39:H39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88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84</v>
      </c>
      <c r="C9" s="51"/>
      <c r="D9" s="51"/>
      <c r="E9" s="51"/>
      <c r="F9" s="51"/>
      <c r="G9" s="51"/>
      <c r="H9" s="12">
        <v>3053.87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45628</v>
      </c>
      <c r="C10" s="13" t="s">
        <v>8</v>
      </c>
      <c r="D10" s="23">
        <v>9215.01</v>
      </c>
      <c r="E10" s="23">
        <f>D10-F10</f>
        <v>6911.34</v>
      </c>
      <c r="F10" s="23">
        <v>2303.67</v>
      </c>
      <c r="G10" s="23">
        <f t="shared" ref="G10:G34" si="0">F10</f>
        <v>2303.67</v>
      </c>
      <c r="H10" s="12">
        <f t="shared" ref="H10:H28" si="1">H9+F10-G10</f>
        <v>3053.87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45629</v>
      </c>
      <c r="C11" s="13" t="s">
        <v>8</v>
      </c>
      <c r="D11" s="23">
        <v>27646.1</v>
      </c>
      <c r="E11" s="23">
        <f t="shared" ref="E11:E34" si="3">D11-F11</f>
        <v>20734.82</v>
      </c>
      <c r="F11" s="24">
        <v>6911.28</v>
      </c>
      <c r="G11" s="23">
        <f t="shared" si="0"/>
        <v>6911.28</v>
      </c>
      <c r="H11" s="12">
        <f t="shared" si="1"/>
        <v>3053.87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45630</v>
      </c>
      <c r="C12" s="13" t="s">
        <v>8</v>
      </c>
      <c r="D12" s="23">
        <v>5345.96</v>
      </c>
      <c r="E12" s="23">
        <f t="shared" si="3"/>
        <v>4009.49</v>
      </c>
      <c r="F12" s="24">
        <v>1336.47</v>
      </c>
      <c r="G12" s="23">
        <f t="shared" si="0"/>
        <v>1336.47</v>
      </c>
      <c r="H12" s="12">
        <f t="shared" si="1"/>
        <v>3053.87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45631</v>
      </c>
      <c r="C13" s="13" t="s">
        <v>8</v>
      </c>
      <c r="D13" s="23">
        <v>4856.45</v>
      </c>
      <c r="E13" s="23">
        <f t="shared" si="3"/>
        <v>3642.38</v>
      </c>
      <c r="F13" s="24">
        <v>1214.07</v>
      </c>
      <c r="G13" s="23">
        <f t="shared" si="0"/>
        <v>1214.07</v>
      </c>
      <c r="H13" s="12">
        <f t="shared" si="1"/>
        <v>3053.87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45632</v>
      </c>
      <c r="C14" s="13" t="s">
        <v>8</v>
      </c>
      <c r="D14" s="23">
        <v>3646.62</v>
      </c>
      <c r="E14" s="23">
        <f t="shared" si="3"/>
        <v>2734.99</v>
      </c>
      <c r="F14" s="24">
        <v>911.63</v>
      </c>
      <c r="G14" s="23">
        <f t="shared" si="0"/>
        <v>911.63</v>
      </c>
      <c r="H14" s="12">
        <f t="shared" si="1"/>
        <v>3053.87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45635</v>
      </c>
      <c r="C15" s="13" t="s">
        <v>8</v>
      </c>
      <c r="D15" s="23">
        <v>5526.32</v>
      </c>
      <c r="E15" s="23">
        <f t="shared" si="3"/>
        <v>4144.78</v>
      </c>
      <c r="F15" s="25">
        <v>1381.54</v>
      </c>
      <c r="G15" s="23">
        <f t="shared" si="0"/>
        <v>1381.54</v>
      </c>
      <c r="H15" s="12">
        <f t="shared" si="1"/>
        <v>3053.87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45636</v>
      </c>
      <c r="C16" s="13" t="s">
        <v>8</v>
      </c>
      <c r="D16" s="23">
        <v>5256.9</v>
      </c>
      <c r="E16" s="23">
        <f t="shared" si="3"/>
        <v>3942.7299999999996</v>
      </c>
      <c r="F16" s="25">
        <v>1314.17</v>
      </c>
      <c r="G16" s="23">
        <f t="shared" si="0"/>
        <v>1314.17</v>
      </c>
      <c r="H16" s="12">
        <f t="shared" si="1"/>
        <v>3053.87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45637</v>
      </c>
      <c r="C17" s="13" t="s">
        <v>8</v>
      </c>
      <c r="D17" s="23">
        <f>500.73+2942.98</f>
        <v>3443.71</v>
      </c>
      <c r="E17" s="23">
        <f t="shared" si="3"/>
        <v>2582.8200000000002</v>
      </c>
      <c r="F17" s="25">
        <f>735.72+125.17</f>
        <v>860.89</v>
      </c>
      <c r="G17" s="23">
        <f t="shared" si="0"/>
        <v>860.89</v>
      </c>
      <c r="H17" s="12">
        <f t="shared" si="1"/>
        <v>3053.87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45638</v>
      </c>
      <c r="C18" s="13" t="s">
        <v>8</v>
      </c>
      <c r="D18" s="23">
        <v>2589.5</v>
      </c>
      <c r="E18" s="23">
        <f t="shared" si="3"/>
        <v>1942.1399999999999</v>
      </c>
      <c r="F18" s="25">
        <v>647.36</v>
      </c>
      <c r="G18" s="23">
        <f t="shared" si="0"/>
        <v>647.36</v>
      </c>
      <c r="H18" s="12">
        <f t="shared" si="1"/>
        <v>3053.87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45639</v>
      </c>
      <c r="C19" s="13" t="s">
        <v>8</v>
      </c>
      <c r="D19" s="23">
        <v>3974.61</v>
      </c>
      <c r="E19" s="23">
        <f t="shared" si="3"/>
        <v>2980.9700000000003</v>
      </c>
      <c r="F19" s="25">
        <v>993.64</v>
      </c>
      <c r="G19" s="23">
        <f t="shared" si="0"/>
        <v>993.64</v>
      </c>
      <c r="H19" s="12">
        <f t="shared" si="1"/>
        <v>3053.87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45642</v>
      </c>
      <c r="C20" s="13" t="s">
        <v>8</v>
      </c>
      <c r="D20" s="23">
        <v>3993.66</v>
      </c>
      <c r="E20" s="23">
        <f t="shared" si="3"/>
        <v>2995.25</v>
      </c>
      <c r="F20" s="25">
        <v>998.41</v>
      </c>
      <c r="G20" s="23">
        <f t="shared" si="0"/>
        <v>998.41</v>
      </c>
      <c r="H20" s="12">
        <f t="shared" si="1"/>
        <v>3053.87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45643</v>
      </c>
      <c r="C21" s="13" t="s">
        <v>8</v>
      </c>
      <c r="D21" s="23">
        <v>9749.7199999999993</v>
      </c>
      <c r="E21" s="23">
        <f t="shared" si="3"/>
        <v>7312.2999999999993</v>
      </c>
      <c r="F21" s="25">
        <v>2437.42</v>
      </c>
      <c r="G21" s="23">
        <f t="shared" si="0"/>
        <v>2437.42</v>
      </c>
      <c r="H21" s="12">
        <f>H20+F21-G21</f>
        <v>3053.87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45644</v>
      </c>
      <c r="C22" s="13" t="s">
        <v>8</v>
      </c>
      <c r="D22" s="23">
        <v>3613.76</v>
      </c>
      <c r="E22" s="23">
        <f t="shared" si="3"/>
        <v>2710.34</v>
      </c>
      <c r="F22" s="25">
        <v>903.42</v>
      </c>
      <c r="G22" s="23">
        <f t="shared" si="0"/>
        <v>903.42</v>
      </c>
      <c r="H22" s="12">
        <f t="shared" si="1"/>
        <v>3053.87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45645</v>
      </c>
      <c r="C23" s="13" t="s">
        <v>8</v>
      </c>
      <c r="D23" s="23">
        <v>6191.03</v>
      </c>
      <c r="E23" s="23">
        <f t="shared" si="3"/>
        <v>4643.2999999999993</v>
      </c>
      <c r="F23" s="25">
        <v>1547.73</v>
      </c>
      <c r="G23" s="23">
        <f t="shared" si="0"/>
        <v>1547.73</v>
      </c>
      <c r="H23" s="12">
        <f t="shared" si="1"/>
        <v>3053.8700000000003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45646</v>
      </c>
      <c r="C24" s="13" t="s">
        <v>8</v>
      </c>
      <c r="D24" s="23">
        <v>1582.16</v>
      </c>
      <c r="E24" s="23">
        <f t="shared" si="3"/>
        <v>1186.6300000000001</v>
      </c>
      <c r="F24" s="25">
        <v>395.53</v>
      </c>
      <c r="G24" s="23">
        <f t="shared" si="0"/>
        <v>395.53</v>
      </c>
      <c r="H24" s="12">
        <f t="shared" si="1"/>
        <v>3053.8700000000008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45649</v>
      </c>
      <c r="C25" s="13" t="s">
        <v>8</v>
      </c>
      <c r="D25" s="23">
        <v>10762.39</v>
      </c>
      <c r="E25" s="23">
        <f t="shared" si="3"/>
        <v>8071.8099999999995</v>
      </c>
      <c r="F25" s="25">
        <v>2690.58</v>
      </c>
      <c r="G25" s="23">
        <f t="shared" si="0"/>
        <v>2690.58</v>
      </c>
      <c r="H25" s="12">
        <f t="shared" si="1"/>
        <v>3053.8700000000008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45650</v>
      </c>
      <c r="C26" s="13" t="s">
        <v>8</v>
      </c>
      <c r="D26" s="23">
        <v>9245.8700000000008</v>
      </c>
      <c r="E26" s="23">
        <f t="shared" si="3"/>
        <v>6934.4500000000007</v>
      </c>
      <c r="F26" s="25">
        <v>2311.42</v>
      </c>
      <c r="G26" s="23">
        <f t="shared" si="0"/>
        <v>2311.42</v>
      </c>
      <c r="H26" s="12">
        <f t="shared" si="1"/>
        <v>3053.8700000000008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idden="1" x14ac:dyDescent="0.25">
      <c r="A27" s="2"/>
      <c r="B27" s="22">
        <f t="shared" si="2"/>
        <v>45651</v>
      </c>
      <c r="C27" s="13" t="s">
        <v>8</v>
      </c>
      <c r="D27" s="23">
        <v>0</v>
      </c>
      <c r="E27" s="23">
        <f t="shared" si="3"/>
        <v>0</v>
      </c>
      <c r="F27" s="25">
        <v>0</v>
      </c>
      <c r="G27" s="23">
        <f t="shared" si="0"/>
        <v>0</v>
      </c>
      <c r="H27" s="12">
        <f t="shared" si="1"/>
        <v>3053.8700000000008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45652</v>
      </c>
      <c r="C28" s="13" t="s">
        <v>8</v>
      </c>
      <c r="D28" s="23">
        <v>6983.53</v>
      </c>
      <c r="E28" s="23">
        <f t="shared" si="3"/>
        <v>5237.6499999999996</v>
      </c>
      <c r="F28" s="25">
        <v>1745.88</v>
      </c>
      <c r="G28" s="23">
        <f t="shared" si="0"/>
        <v>1745.88</v>
      </c>
      <c r="H28" s="12">
        <f t="shared" si="1"/>
        <v>3053.8700000000008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45653</v>
      </c>
      <c r="C29" s="13" t="s">
        <v>8</v>
      </c>
      <c r="D29" s="23">
        <v>10210.530000000001</v>
      </c>
      <c r="E29" s="23">
        <f>D29-F29</f>
        <v>7657.9000000000005</v>
      </c>
      <c r="F29" s="25">
        <v>2552.63</v>
      </c>
      <c r="G29" s="23">
        <f>F29</f>
        <v>2552.63</v>
      </c>
      <c r="H29" s="12">
        <f>H28+F29-G29</f>
        <v>3053.8700000000008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45656</v>
      </c>
      <c r="C30" s="13" t="s">
        <v>8</v>
      </c>
      <c r="D30" s="23">
        <v>12145.64</v>
      </c>
      <c r="E30" s="23">
        <f t="shared" si="3"/>
        <v>9109.25</v>
      </c>
      <c r="F30" s="25">
        <v>3036.39</v>
      </c>
      <c r="G30" s="23">
        <f t="shared" ref="G30:G31" si="4">F30</f>
        <v>3036.39</v>
      </c>
      <c r="H30" s="12">
        <f t="shared" ref="H30:H31" si="5">H29+F30-G30</f>
        <v>3053.8700000000003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45657</v>
      </c>
      <c r="C31" s="13" t="s">
        <v>8</v>
      </c>
      <c r="D31" s="23">
        <v>44369.45</v>
      </c>
      <c r="E31" s="23">
        <f t="shared" si="3"/>
        <v>33277.299999999996</v>
      </c>
      <c r="F31" s="25">
        <v>11092.15</v>
      </c>
      <c r="G31" s="23">
        <f t="shared" si="4"/>
        <v>11092.15</v>
      </c>
      <c r="H31" s="12">
        <f t="shared" si="5"/>
        <v>3053.8700000000008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45643</v>
      </c>
      <c r="C32" s="27" t="s">
        <v>11</v>
      </c>
      <c r="D32" s="23">
        <v>0</v>
      </c>
      <c r="E32" s="23">
        <f t="shared" si="3"/>
        <v>0</v>
      </c>
      <c r="F32" s="25">
        <v>0</v>
      </c>
      <c r="G32" s="23">
        <v>3053.87</v>
      </c>
      <c r="H32" s="12">
        <f>H31+F32-G32</f>
        <v>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13</v>
      </c>
      <c r="B33" s="22">
        <v>45657</v>
      </c>
      <c r="C33" s="27" t="s">
        <v>11</v>
      </c>
      <c r="D33" s="23">
        <v>10747.29</v>
      </c>
      <c r="E33" s="23">
        <f>D33-F33</f>
        <v>8060.4675000000007</v>
      </c>
      <c r="F33" s="25">
        <f>D33*0.25</f>
        <v>2686.8225000000002</v>
      </c>
      <c r="G33" s="23">
        <v>0</v>
      </c>
      <c r="H33" s="12">
        <f>H32+F33-G33</f>
        <v>2686.8225000000002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"/>
      <c r="B34" s="22"/>
      <c r="C34" s="27"/>
      <c r="D34" s="23"/>
      <c r="E34" s="23">
        <f t="shared" si="3"/>
        <v>0</v>
      </c>
      <c r="F34" s="25">
        <f t="shared" ref="F34" si="6">D34*25%</f>
        <v>0</v>
      </c>
      <c r="G34" s="23">
        <f t="shared" si="0"/>
        <v>0</v>
      </c>
      <c r="H34" s="12">
        <f>H33+F34-G34</f>
        <v>2686.8225000000002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18" t="s">
        <v>9</v>
      </c>
      <c r="C35" s="19"/>
      <c r="D35" s="20">
        <f>SUM(D10:D34)</f>
        <v>201096.21000000005</v>
      </c>
      <c r="E35" s="20">
        <f>SUM(E10:E34)</f>
        <v>150823.10749999998</v>
      </c>
      <c r="F35" s="20">
        <f>SUM(F10:F34)</f>
        <v>50273.102499999994</v>
      </c>
      <c r="G35" s="14">
        <f>SUM(G10:G34)</f>
        <v>50640.149999999994</v>
      </c>
      <c r="H35" s="12">
        <f>+H34</f>
        <v>2686.8225000000002</v>
      </c>
      <c r="I35" s="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60" t="s">
        <v>10</v>
      </c>
      <c r="C36" s="61"/>
      <c r="D36" s="61"/>
      <c r="E36" s="61"/>
      <c r="F36" s="61"/>
      <c r="G36" s="61"/>
      <c r="H36" s="62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41" t="s">
        <v>85</v>
      </c>
      <c r="C37" s="42"/>
      <c r="D37" s="42"/>
      <c r="E37" s="42"/>
      <c r="F37" s="42"/>
      <c r="G37" s="42"/>
      <c r="H37" s="43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2.25" customHeight="1" x14ac:dyDescent="0.25">
      <c r="A38" s="29"/>
      <c r="B38" s="55" t="s">
        <v>86</v>
      </c>
      <c r="C38" s="59"/>
      <c r="D38" s="59"/>
      <c r="E38" s="59"/>
      <c r="F38" s="59"/>
      <c r="G38" s="59"/>
      <c r="H38" s="43"/>
      <c r="I38" s="30"/>
      <c r="J38" s="36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9.25" customHeight="1" x14ac:dyDescent="0.25">
      <c r="A39" s="29"/>
      <c r="B39" s="55" t="s">
        <v>87</v>
      </c>
      <c r="C39" s="42"/>
      <c r="D39" s="42"/>
      <c r="E39" s="42"/>
      <c r="F39" s="42"/>
      <c r="G39" s="42"/>
      <c r="H39" s="43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hidden="1" customHeight="1" x14ac:dyDescent="0.25">
      <c r="A40" s="29"/>
      <c r="B40" s="55"/>
      <c r="C40" s="56"/>
      <c r="D40" s="56"/>
      <c r="E40" s="56"/>
      <c r="F40" s="56"/>
      <c r="G40" s="56"/>
      <c r="H40" s="57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thickBot="1" x14ac:dyDescent="0.3">
      <c r="A41" s="29"/>
      <c r="B41" s="44"/>
      <c r="C41" s="45"/>
      <c r="D41" s="45"/>
      <c r="E41" s="45"/>
      <c r="F41" s="45"/>
      <c r="G41" s="45"/>
      <c r="H41" s="46"/>
      <c r="I41" s="30"/>
      <c r="J41" s="2"/>
      <c r="K41" s="1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31"/>
      <c r="C42" s="31"/>
      <c r="D42" s="31"/>
      <c r="E42" s="31"/>
      <c r="F42" s="31"/>
      <c r="G42" s="31"/>
      <c r="H42" s="3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</sheetData>
  <mergeCells count="8">
    <mergeCell ref="B40:H40"/>
    <mergeCell ref="B41:H41"/>
    <mergeCell ref="B7:H7"/>
    <mergeCell ref="B9:G9"/>
    <mergeCell ref="B36:H36"/>
    <mergeCell ref="B37:H37"/>
    <mergeCell ref="B38:H38"/>
    <mergeCell ref="B39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A43BF-A284-47F9-AF79-7E26231DD470}">
  <dimension ref="A1:Z999"/>
  <sheetViews>
    <sheetView topLeftCell="A7" zoomScale="110" zoomScaleNormal="110" workbookViewId="0">
      <selection activeCell="B33" sqref="B33:H3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90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28</v>
      </c>
      <c r="C9" s="51"/>
      <c r="D9" s="51"/>
      <c r="E9" s="51"/>
      <c r="F9" s="51"/>
      <c r="G9" s="51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45659</v>
      </c>
      <c r="C10" s="13" t="s">
        <v>8</v>
      </c>
      <c r="D10" s="23">
        <v>1611.6</v>
      </c>
      <c r="E10" s="23">
        <f>D10-F10</f>
        <v>1208.6999999999998</v>
      </c>
      <c r="F10" s="23">
        <v>402.9</v>
      </c>
      <c r="G10" s="23">
        <f t="shared" ref="G10:G28" si="0">F10</f>
        <v>402.9</v>
      </c>
      <c r="H10" s="12">
        <f t="shared" ref="H10:H28" si="1">H9+F10-G10</f>
        <v>2686.82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45660</v>
      </c>
      <c r="C11" s="13" t="s">
        <v>8</v>
      </c>
      <c r="D11" s="23">
        <v>33048.699999999997</v>
      </c>
      <c r="E11" s="23">
        <f t="shared" ref="E11:E31" si="3">D11-F11</f>
        <v>24786.549999999996</v>
      </c>
      <c r="F11" s="24">
        <v>8262.15</v>
      </c>
      <c r="G11" s="23">
        <f t="shared" si="0"/>
        <v>8262.15</v>
      </c>
      <c r="H11" s="12">
        <f t="shared" si="1"/>
        <v>2686.8199999999997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45663</v>
      </c>
      <c r="C12" s="13" t="s">
        <v>8</v>
      </c>
      <c r="D12" s="23">
        <v>29309.37</v>
      </c>
      <c r="E12" s="23">
        <f t="shared" si="3"/>
        <v>21982.05</v>
      </c>
      <c r="F12" s="24">
        <v>7327.32</v>
      </c>
      <c r="G12" s="23">
        <f t="shared" si="0"/>
        <v>7327.32</v>
      </c>
      <c r="H12" s="12">
        <f t="shared" si="1"/>
        <v>2686.8199999999997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45664</v>
      </c>
      <c r="C13" s="13" t="s">
        <v>8</v>
      </c>
      <c r="D13" s="23">
        <v>38041.769999999997</v>
      </c>
      <c r="E13" s="23">
        <f t="shared" si="3"/>
        <v>28531.359999999997</v>
      </c>
      <c r="F13" s="24">
        <v>9510.41</v>
      </c>
      <c r="G13" s="23">
        <f t="shared" si="0"/>
        <v>9510.41</v>
      </c>
      <c r="H13" s="12">
        <f t="shared" si="1"/>
        <v>2686.8199999999997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45665</v>
      </c>
      <c r="C14" s="13" t="s">
        <v>8</v>
      </c>
      <c r="D14" s="23">
        <v>23062.89</v>
      </c>
      <c r="E14" s="23">
        <f t="shared" si="3"/>
        <v>17297.2</v>
      </c>
      <c r="F14" s="24">
        <v>5765.69</v>
      </c>
      <c r="G14" s="23">
        <f t="shared" si="0"/>
        <v>5765.69</v>
      </c>
      <c r="H14" s="12">
        <f t="shared" si="1"/>
        <v>2686.8199999999988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45666</v>
      </c>
      <c r="C15" s="13" t="s">
        <v>8</v>
      </c>
      <c r="D15" s="23">
        <v>42324.98</v>
      </c>
      <c r="E15" s="23">
        <f t="shared" si="3"/>
        <v>31743.770000000004</v>
      </c>
      <c r="F15" s="25">
        <v>10581.21</v>
      </c>
      <c r="G15" s="23">
        <f t="shared" si="0"/>
        <v>10581.21</v>
      </c>
      <c r="H15" s="12">
        <f t="shared" si="1"/>
        <v>2686.8199999999997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45667</v>
      </c>
      <c r="C16" s="13" t="s">
        <v>8</v>
      </c>
      <c r="D16" s="23">
        <v>36272.07</v>
      </c>
      <c r="E16" s="23">
        <f t="shared" si="3"/>
        <v>27204.080000000002</v>
      </c>
      <c r="F16" s="25">
        <v>9067.99</v>
      </c>
      <c r="G16" s="23">
        <f t="shared" si="0"/>
        <v>9067.99</v>
      </c>
      <c r="H16" s="12">
        <f t="shared" si="1"/>
        <v>2686.8199999999997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45670</v>
      </c>
      <c r="C17" s="13" t="s">
        <v>8</v>
      </c>
      <c r="D17" s="23">
        <v>42389.07</v>
      </c>
      <c r="E17" s="23">
        <f t="shared" si="3"/>
        <v>31791.84</v>
      </c>
      <c r="F17" s="25">
        <v>10597.23</v>
      </c>
      <c r="G17" s="23">
        <f t="shared" si="0"/>
        <v>10597.23</v>
      </c>
      <c r="H17" s="12">
        <f t="shared" si="1"/>
        <v>2686.8199999999997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45671</v>
      </c>
      <c r="C18" s="13" t="s">
        <v>8</v>
      </c>
      <c r="D18" s="23">
        <v>42084.92</v>
      </c>
      <c r="E18" s="23">
        <f t="shared" si="3"/>
        <v>31563.729999999996</v>
      </c>
      <c r="F18" s="25">
        <v>10521.19</v>
      </c>
      <c r="G18" s="23">
        <f t="shared" si="0"/>
        <v>10521.19</v>
      </c>
      <c r="H18" s="12">
        <f t="shared" si="1"/>
        <v>2686.8199999999997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45672</v>
      </c>
      <c r="C19" s="13" t="s">
        <v>8</v>
      </c>
      <c r="D19" s="23">
        <v>26423.75</v>
      </c>
      <c r="E19" s="23">
        <f t="shared" si="3"/>
        <v>19817.82</v>
      </c>
      <c r="F19" s="25">
        <v>6605.93</v>
      </c>
      <c r="G19" s="23">
        <f t="shared" si="0"/>
        <v>6605.93</v>
      </c>
      <c r="H19" s="12">
        <f t="shared" si="1"/>
        <v>2686.8199999999997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45673</v>
      </c>
      <c r="C20" s="13" t="s">
        <v>8</v>
      </c>
      <c r="D20" s="23">
        <v>32665.89</v>
      </c>
      <c r="E20" s="23">
        <f t="shared" si="3"/>
        <v>24499.45</v>
      </c>
      <c r="F20" s="25">
        <v>8166.44</v>
      </c>
      <c r="G20" s="23">
        <f t="shared" si="0"/>
        <v>8166.44</v>
      </c>
      <c r="H20" s="12">
        <f t="shared" si="1"/>
        <v>2686.8199999999988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45674</v>
      </c>
      <c r="C21" s="13" t="s">
        <v>8</v>
      </c>
      <c r="D21" s="23">
        <v>34111.79</v>
      </c>
      <c r="E21" s="23">
        <f t="shared" si="3"/>
        <v>25583.86</v>
      </c>
      <c r="F21" s="25">
        <v>8527.93</v>
      </c>
      <c r="G21" s="23">
        <f t="shared" si="0"/>
        <v>8527.93</v>
      </c>
      <c r="H21" s="12">
        <f>H20+F21-G21</f>
        <v>2686.8199999999997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45677</v>
      </c>
      <c r="C22" s="13" t="s">
        <v>8</v>
      </c>
      <c r="D22" s="23">
        <v>21558.47</v>
      </c>
      <c r="E22" s="23">
        <f t="shared" si="3"/>
        <v>16168.86</v>
      </c>
      <c r="F22" s="25">
        <v>5389.61</v>
      </c>
      <c r="G22" s="23">
        <f t="shared" si="0"/>
        <v>5389.61</v>
      </c>
      <c r="H22" s="12">
        <f t="shared" si="1"/>
        <v>2686.8199999999997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45678</v>
      </c>
      <c r="C23" s="13" t="s">
        <v>8</v>
      </c>
      <c r="D23" s="23">
        <v>41036.089999999997</v>
      </c>
      <c r="E23" s="23">
        <f t="shared" si="3"/>
        <v>30777.079999999994</v>
      </c>
      <c r="F23" s="25">
        <v>10259.01</v>
      </c>
      <c r="G23" s="23">
        <f t="shared" si="0"/>
        <v>10259.01</v>
      </c>
      <c r="H23" s="12">
        <f t="shared" si="1"/>
        <v>2686.8199999999997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45679</v>
      </c>
      <c r="C24" s="13" t="s">
        <v>8</v>
      </c>
      <c r="D24" s="23">
        <v>25801.45</v>
      </c>
      <c r="E24" s="23">
        <f t="shared" si="3"/>
        <v>19351.09</v>
      </c>
      <c r="F24" s="25">
        <v>6450.36</v>
      </c>
      <c r="G24" s="23">
        <f t="shared" si="0"/>
        <v>6450.36</v>
      </c>
      <c r="H24" s="12">
        <f t="shared" si="1"/>
        <v>2686.8200000000006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45680</v>
      </c>
      <c r="C25" s="13" t="s">
        <v>8</v>
      </c>
      <c r="D25" s="23">
        <v>26748.78</v>
      </c>
      <c r="E25" s="23">
        <f t="shared" si="3"/>
        <v>20061.61</v>
      </c>
      <c r="F25" s="25">
        <v>6687.17</v>
      </c>
      <c r="G25" s="23">
        <f t="shared" si="0"/>
        <v>6687.17</v>
      </c>
      <c r="H25" s="12">
        <f t="shared" si="1"/>
        <v>2686.8200000000015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45681</v>
      </c>
      <c r="C26" s="13" t="s">
        <v>8</v>
      </c>
      <c r="D26" s="23">
        <v>35094.300000000003</v>
      </c>
      <c r="E26" s="23">
        <f t="shared" si="3"/>
        <v>26320.730000000003</v>
      </c>
      <c r="F26" s="25">
        <v>8773.57</v>
      </c>
      <c r="G26" s="23">
        <f t="shared" si="0"/>
        <v>8773.57</v>
      </c>
      <c r="H26" s="12">
        <f t="shared" si="1"/>
        <v>2686.8200000000015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45684</v>
      </c>
      <c r="C27" s="13" t="s">
        <v>8</v>
      </c>
      <c r="D27" s="23">
        <v>36204.54</v>
      </c>
      <c r="E27" s="23">
        <f t="shared" si="3"/>
        <v>27153.410000000003</v>
      </c>
      <c r="F27" s="25">
        <v>9051.1299999999992</v>
      </c>
      <c r="G27" s="23">
        <f t="shared" si="0"/>
        <v>9051.1299999999992</v>
      </c>
      <c r="H27" s="12">
        <f t="shared" si="1"/>
        <v>2686.8200000000015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45685</v>
      </c>
      <c r="C28" s="13" t="s">
        <v>8</v>
      </c>
      <c r="D28" s="23">
        <v>73705.399999999994</v>
      </c>
      <c r="E28" s="23">
        <f t="shared" si="3"/>
        <v>55279.079999999994</v>
      </c>
      <c r="F28" s="25">
        <v>18426.32</v>
      </c>
      <c r="G28" s="23">
        <f t="shared" si="0"/>
        <v>18426.32</v>
      </c>
      <c r="H28" s="12">
        <f t="shared" si="1"/>
        <v>2686.8199999999997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45686</v>
      </c>
      <c r="C29" s="13" t="s">
        <v>8</v>
      </c>
      <c r="D29" s="23">
        <v>66267.89</v>
      </c>
      <c r="E29" s="23">
        <f>D29-F29</f>
        <v>49700.97</v>
      </c>
      <c r="F29" s="25">
        <v>16566.919999999998</v>
      </c>
      <c r="G29" s="23">
        <f>F29</f>
        <v>16566.919999999998</v>
      </c>
      <c r="H29" s="12">
        <f>H28+F29-G29</f>
        <v>2686.8199999999997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45687</v>
      </c>
      <c r="C30" s="13" t="s">
        <v>8</v>
      </c>
      <c r="D30" s="23">
        <v>95740.479999999996</v>
      </c>
      <c r="E30" s="23">
        <f t="shared" si="3"/>
        <v>71805.39</v>
      </c>
      <c r="F30" s="25">
        <v>23935.09</v>
      </c>
      <c r="G30" s="23">
        <f t="shared" ref="G30:G31" si="4">F30</f>
        <v>23935.09</v>
      </c>
      <c r="H30" s="12">
        <f t="shared" ref="H30:H31" si="5">H29+F30-G30</f>
        <v>2686.8199999999997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45688</v>
      </c>
      <c r="C31" s="13" t="s">
        <v>8</v>
      </c>
      <c r="D31" s="23">
        <v>193632.51</v>
      </c>
      <c r="E31" s="23">
        <f t="shared" si="3"/>
        <v>145224.53</v>
      </c>
      <c r="F31" s="25">
        <v>48407.98</v>
      </c>
      <c r="G31" s="23">
        <f t="shared" si="4"/>
        <v>48407.98</v>
      </c>
      <c r="H31" s="12">
        <f t="shared" si="5"/>
        <v>2686.8199999999997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997136.71000000008</v>
      </c>
      <c r="E32" s="20">
        <f>SUM(E10:E31)</f>
        <v>747853.16</v>
      </c>
      <c r="F32" s="20">
        <f>SUM(F10:F31)</f>
        <v>249283.55</v>
      </c>
      <c r="G32" s="14">
        <f>SUM(G10:G31)</f>
        <v>249283.55</v>
      </c>
      <c r="H32" s="12">
        <f>+H31</f>
        <v>2686.8199999999997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0" t="s">
        <v>10</v>
      </c>
      <c r="C33" s="61"/>
      <c r="D33" s="61"/>
      <c r="E33" s="61"/>
      <c r="F33" s="61"/>
      <c r="G33" s="61"/>
      <c r="H33" s="62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1" t="s">
        <v>91</v>
      </c>
      <c r="C34" s="42"/>
      <c r="D34" s="42"/>
      <c r="E34" s="42"/>
      <c r="F34" s="42"/>
      <c r="G34" s="42"/>
      <c r="H34" s="43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thickBot="1" x14ac:dyDescent="0.3">
      <c r="A35" s="29"/>
      <c r="B35" s="44"/>
      <c r="C35" s="45"/>
      <c r="D35" s="45"/>
      <c r="E35" s="45"/>
      <c r="F35" s="45"/>
      <c r="G35" s="45"/>
      <c r="H35" s="46"/>
      <c r="I35" s="30"/>
      <c r="J35" s="2"/>
      <c r="K35" s="1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31"/>
      <c r="C36" s="31"/>
      <c r="D36" s="31"/>
      <c r="E36" s="31"/>
      <c r="F36" s="31"/>
      <c r="G36" s="31"/>
      <c r="H36" s="3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5">
    <mergeCell ref="B35:H35"/>
    <mergeCell ref="B7:H7"/>
    <mergeCell ref="B9:G9"/>
    <mergeCell ref="B33:H33"/>
    <mergeCell ref="B34:H34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AC494-414B-4999-9CE3-F3DD982A92AD}">
  <dimension ref="A1:Z1001"/>
  <sheetViews>
    <sheetView topLeftCell="A7" zoomScale="110" zoomScaleNormal="110" workbookViewId="0">
      <selection activeCell="H32" sqref="H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97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93</v>
      </c>
      <c r="C9" s="51"/>
      <c r="D9" s="51"/>
      <c r="E9" s="51"/>
      <c r="F9" s="51"/>
      <c r="G9" s="51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45691</v>
      </c>
      <c r="C10" s="13" t="s">
        <v>8</v>
      </c>
      <c r="D10" s="23">
        <v>455702.23</v>
      </c>
      <c r="E10" s="23">
        <f>D10-F10</f>
        <v>341776.75</v>
      </c>
      <c r="F10" s="23">
        <v>113925.48</v>
      </c>
      <c r="G10" s="23">
        <f t="shared" ref="G10:G28" si="0">F10</f>
        <v>113925.48</v>
      </c>
      <c r="H10" s="12">
        <f t="shared" ref="H10:H28" si="1">H9+F10-G10</f>
        <v>2686.820000000007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45692</v>
      </c>
      <c r="C11" s="13" t="s">
        <v>8</v>
      </c>
      <c r="D11" s="23">
        <v>18702.27</v>
      </c>
      <c r="E11" s="23">
        <f t="shared" ref="E11:E31" si="3">D11-F11</f>
        <v>14026.73</v>
      </c>
      <c r="F11" s="24">
        <v>4675.54</v>
      </c>
      <c r="G11" s="23">
        <f t="shared" si="0"/>
        <v>4675.54</v>
      </c>
      <c r="H11" s="12">
        <f t="shared" si="1"/>
        <v>2686.820000000007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45693</v>
      </c>
      <c r="C12" s="13" t="s">
        <v>8</v>
      </c>
      <c r="D12" s="23">
        <v>7260.37</v>
      </c>
      <c r="E12" s="23">
        <f t="shared" si="3"/>
        <v>5445.29</v>
      </c>
      <c r="F12" s="24">
        <v>1815.08</v>
      </c>
      <c r="G12" s="23">
        <f t="shared" si="0"/>
        <v>1815.08</v>
      </c>
      <c r="H12" s="12">
        <f t="shared" si="1"/>
        <v>2686.820000000007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45694</v>
      </c>
      <c r="C13" s="13" t="s">
        <v>8</v>
      </c>
      <c r="D13" s="23">
        <v>10567.44</v>
      </c>
      <c r="E13" s="23">
        <f t="shared" si="3"/>
        <v>7925.6</v>
      </c>
      <c r="F13" s="24">
        <v>2641.84</v>
      </c>
      <c r="G13" s="23">
        <f t="shared" si="0"/>
        <v>2641.84</v>
      </c>
      <c r="H13" s="12">
        <f t="shared" si="1"/>
        <v>2686.820000000007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45695</v>
      </c>
      <c r="C14" s="13" t="s">
        <v>8</v>
      </c>
      <c r="D14" s="23">
        <v>11807.35</v>
      </c>
      <c r="E14" s="23">
        <f t="shared" si="3"/>
        <v>8855.52</v>
      </c>
      <c r="F14" s="24">
        <v>2951.83</v>
      </c>
      <c r="G14" s="23">
        <f t="shared" si="0"/>
        <v>2951.83</v>
      </c>
      <c r="H14" s="12">
        <f t="shared" si="1"/>
        <v>2686.820000000007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45698</v>
      </c>
      <c r="C15" s="13" t="s">
        <v>8</v>
      </c>
      <c r="D15" s="23">
        <v>12963.29</v>
      </c>
      <c r="E15" s="23">
        <f t="shared" si="3"/>
        <v>9722.4700000000012</v>
      </c>
      <c r="F15" s="25">
        <v>3240.82</v>
      </c>
      <c r="G15" s="23">
        <f t="shared" si="0"/>
        <v>3240.82</v>
      </c>
      <c r="H15" s="12">
        <f t="shared" si="1"/>
        <v>2686.8200000000065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45699</v>
      </c>
      <c r="C16" s="13" t="s">
        <v>8</v>
      </c>
      <c r="D16" s="23">
        <v>14783.7</v>
      </c>
      <c r="E16" s="23">
        <f t="shared" si="3"/>
        <v>11087.810000000001</v>
      </c>
      <c r="F16" s="25">
        <v>3695.89</v>
      </c>
      <c r="G16" s="23">
        <f t="shared" si="0"/>
        <v>3695.89</v>
      </c>
      <c r="H16" s="12">
        <f t="shared" si="1"/>
        <v>2686.8200000000065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45700</v>
      </c>
      <c r="C17" s="13" t="s">
        <v>8</v>
      </c>
      <c r="D17" s="23">
        <v>14802.15</v>
      </c>
      <c r="E17" s="23">
        <f t="shared" si="3"/>
        <v>11101.64</v>
      </c>
      <c r="F17" s="25">
        <v>3700.51</v>
      </c>
      <c r="G17" s="23">
        <f t="shared" si="0"/>
        <v>3700.51</v>
      </c>
      <c r="H17" s="12">
        <f t="shared" si="1"/>
        <v>2686.820000000007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45701</v>
      </c>
      <c r="C18" s="13" t="s">
        <v>8</v>
      </c>
      <c r="D18" s="23">
        <v>7332.99</v>
      </c>
      <c r="E18" s="23">
        <f t="shared" si="3"/>
        <v>5499.75</v>
      </c>
      <c r="F18" s="25">
        <v>1833.24</v>
      </c>
      <c r="G18" s="23">
        <f t="shared" si="0"/>
        <v>1833.24</v>
      </c>
      <c r="H18" s="12">
        <f t="shared" si="1"/>
        <v>2686.820000000007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45702</v>
      </c>
      <c r="C19" s="13" t="s">
        <v>8</v>
      </c>
      <c r="D19" s="23">
        <v>10134.879999999999</v>
      </c>
      <c r="E19" s="23">
        <f t="shared" si="3"/>
        <v>7601.1699999999992</v>
      </c>
      <c r="F19" s="25">
        <v>2533.71</v>
      </c>
      <c r="G19" s="23">
        <f t="shared" si="0"/>
        <v>2533.71</v>
      </c>
      <c r="H19" s="12">
        <f t="shared" si="1"/>
        <v>2686.820000000007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45705</v>
      </c>
      <c r="C20" s="13" t="s">
        <v>8</v>
      </c>
      <c r="D20" s="23">
        <v>11538.95</v>
      </c>
      <c r="E20" s="23">
        <f t="shared" si="3"/>
        <v>8654.2200000000012</v>
      </c>
      <c r="F20" s="25">
        <v>2884.73</v>
      </c>
      <c r="G20" s="23">
        <f t="shared" si="0"/>
        <v>2884.73</v>
      </c>
      <c r="H20" s="12">
        <f t="shared" si="1"/>
        <v>2686.8200000000065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45706</v>
      </c>
      <c r="C21" s="13" t="s">
        <v>8</v>
      </c>
      <c r="D21" s="23">
        <v>11693.86</v>
      </c>
      <c r="E21" s="23">
        <f t="shared" si="3"/>
        <v>8770.41</v>
      </c>
      <c r="F21" s="25">
        <v>2923.45</v>
      </c>
      <c r="G21" s="23">
        <f t="shared" si="0"/>
        <v>2923.45</v>
      </c>
      <c r="H21" s="12">
        <f>H20+F21-G21</f>
        <v>2686.8200000000061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45707</v>
      </c>
      <c r="C22" s="13" t="s">
        <v>8</v>
      </c>
      <c r="D22" s="23">
        <v>5485.48</v>
      </c>
      <c r="E22" s="23">
        <f t="shared" si="3"/>
        <v>4114.1299999999992</v>
      </c>
      <c r="F22" s="25">
        <v>1371.35</v>
      </c>
      <c r="G22" s="23">
        <f t="shared" si="0"/>
        <v>1371.35</v>
      </c>
      <c r="H22" s="12">
        <f t="shared" si="1"/>
        <v>2686.8200000000061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45708</v>
      </c>
      <c r="C23" s="13" t="s">
        <v>8</v>
      </c>
      <c r="D23" s="23">
        <v>7141.43</v>
      </c>
      <c r="E23" s="23">
        <f t="shared" si="3"/>
        <v>5356.08</v>
      </c>
      <c r="F23" s="25">
        <v>1785.35</v>
      </c>
      <c r="G23" s="23">
        <f t="shared" si="0"/>
        <v>1785.35</v>
      </c>
      <c r="H23" s="12">
        <f t="shared" si="1"/>
        <v>2686.8200000000056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45709</v>
      </c>
      <c r="C24" s="13" t="s">
        <v>8</v>
      </c>
      <c r="D24" s="23">
        <v>9425.8700000000008</v>
      </c>
      <c r="E24" s="23">
        <f t="shared" si="3"/>
        <v>7069.420000000001</v>
      </c>
      <c r="F24" s="25">
        <v>2356.4499999999998</v>
      </c>
      <c r="G24" s="23">
        <f t="shared" si="0"/>
        <v>2356.4499999999998</v>
      </c>
      <c r="H24" s="12">
        <f t="shared" si="1"/>
        <v>2686.8200000000061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45712</v>
      </c>
      <c r="C25" s="13" t="s">
        <v>8</v>
      </c>
      <c r="D25" s="23">
        <v>8377.14</v>
      </c>
      <c r="E25" s="23">
        <f t="shared" si="3"/>
        <v>6282.8599999999988</v>
      </c>
      <c r="F25" s="25">
        <v>2094.2800000000002</v>
      </c>
      <c r="G25" s="23">
        <f t="shared" si="0"/>
        <v>2094.2800000000002</v>
      </c>
      <c r="H25" s="12">
        <f t="shared" si="1"/>
        <v>2686.8200000000056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45713</v>
      </c>
      <c r="C26" s="13" t="s">
        <v>8</v>
      </c>
      <c r="D26" s="23">
        <v>7325.68</v>
      </c>
      <c r="E26" s="23">
        <f t="shared" si="3"/>
        <v>5494.27</v>
      </c>
      <c r="F26" s="25">
        <v>1831.41</v>
      </c>
      <c r="G26" s="23">
        <f t="shared" si="0"/>
        <v>1831.41</v>
      </c>
      <c r="H26" s="12">
        <f t="shared" si="1"/>
        <v>2686.8200000000061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45714</v>
      </c>
      <c r="C27" s="13" t="s">
        <v>8</v>
      </c>
      <c r="D27" s="23">
        <v>10920.94</v>
      </c>
      <c r="E27" s="23">
        <f t="shared" si="3"/>
        <v>8190.7100000000009</v>
      </c>
      <c r="F27" s="25">
        <v>2730.23</v>
      </c>
      <c r="G27" s="23">
        <f t="shared" si="0"/>
        <v>2730.23</v>
      </c>
      <c r="H27" s="12">
        <f t="shared" si="1"/>
        <v>2686.8200000000065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45715</v>
      </c>
      <c r="C28" s="13" t="s">
        <v>8</v>
      </c>
      <c r="D28" s="23">
        <v>8786.3700000000008</v>
      </c>
      <c r="E28" s="23">
        <f t="shared" si="3"/>
        <v>6589.7900000000009</v>
      </c>
      <c r="F28" s="25">
        <v>2196.58</v>
      </c>
      <c r="G28" s="23">
        <f t="shared" si="0"/>
        <v>2196.58</v>
      </c>
      <c r="H28" s="12">
        <f t="shared" si="1"/>
        <v>2686.820000000007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45716</v>
      </c>
      <c r="C29" s="13" t="s">
        <v>8</v>
      </c>
      <c r="D29" s="23">
        <v>24278.98</v>
      </c>
      <c r="E29" s="23">
        <f>D29-F29</f>
        <v>18209.259999999998</v>
      </c>
      <c r="F29" s="25">
        <v>6069.72</v>
      </c>
      <c r="G29" s="23">
        <f>F29</f>
        <v>6069.72</v>
      </c>
      <c r="H29" s="12">
        <f>H28+F29-G29</f>
        <v>2686.8200000000079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 t="s">
        <v>12</v>
      </c>
      <c r="B30" s="22">
        <v>45705</v>
      </c>
      <c r="C30" s="13" t="s">
        <v>11</v>
      </c>
      <c r="D30" s="23">
        <v>0</v>
      </c>
      <c r="E30" s="23">
        <f t="shared" si="3"/>
        <v>0</v>
      </c>
      <c r="F30" s="25">
        <v>0</v>
      </c>
      <c r="G30" s="23">
        <v>2686.82</v>
      </c>
      <c r="H30" s="12">
        <f>H29+F30-G30</f>
        <v>7.73070496506989E-12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 t="s">
        <v>13</v>
      </c>
      <c r="B31" s="22">
        <f t="shared" si="2"/>
        <v>45706</v>
      </c>
      <c r="C31" s="13" t="s">
        <v>11</v>
      </c>
      <c r="D31" s="23">
        <v>6160.9</v>
      </c>
      <c r="E31" s="23">
        <f t="shared" si="3"/>
        <v>4620.6749999999993</v>
      </c>
      <c r="F31" s="25">
        <f>D31*0.25</f>
        <v>1540.2249999999999</v>
      </c>
      <c r="G31" s="23">
        <v>0</v>
      </c>
      <c r="H31" s="12">
        <f>H30+F31-G31</f>
        <v>1540.2250000000076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675192.2699999999</v>
      </c>
      <c r="E32" s="20">
        <f>SUM(E10:E31)</f>
        <v>506394.55499999993</v>
      </c>
      <c r="F32" s="20">
        <f>SUM(F10:F31)</f>
        <v>168797.71500000005</v>
      </c>
      <c r="G32" s="14">
        <f>SUM(G10:G31)</f>
        <v>169944.31000000006</v>
      </c>
      <c r="H32" s="12">
        <f>+H31</f>
        <v>1540.2250000000076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0" t="s">
        <v>10</v>
      </c>
      <c r="C33" s="61"/>
      <c r="D33" s="61"/>
      <c r="E33" s="61"/>
      <c r="F33" s="61"/>
      <c r="G33" s="61"/>
      <c r="H33" s="62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1" t="s">
        <v>94</v>
      </c>
      <c r="C34" s="42"/>
      <c r="D34" s="42"/>
      <c r="E34" s="42"/>
      <c r="F34" s="42"/>
      <c r="G34" s="42"/>
      <c r="H34" s="43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.75" customHeight="1" x14ac:dyDescent="0.25">
      <c r="A35" s="31"/>
      <c r="B35" s="55" t="s">
        <v>95</v>
      </c>
      <c r="C35" s="56"/>
      <c r="D35" s="56"/>
      <c r="E35" s="56"/>
      <c r="F35" s="56"/>
      <c r="G35" s="56"/>
      <c r="H35" s="57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9.25" customHeight="1" x14ac:dyDescent="0.25">
      <c r="A36" s="31"/>
      <c r="B36" s="55" t="s">
        <v>96</v>
      </c>
      <c r="C36" s="42"/>
      <c r="D36" s="42"/>
      <c r="E36" s="42"/>
      <c r="F36" s="42"/>
      <c r="G36" s="42"/>
      <c r="H36" s="43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thickBot="1" x14ac:dyDescent="0.3">
      <c r="A37" s="29"/>
      <c r="B37" s="44"/>
      <c r="C37" s="45"/>
      <c r="D37" s="45"/>
      <c r="E37" s="45"/>
      <c r="F37" s="45"/>
      <c r="G37" s="45"/>
      <c r="H37" s="46"/>
      <c r="I37" s="30"/>
      <c r="J37" s="2"/>
      <c r="K37" s="1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31"/>
      <c r="C38" s="31"/>
      <c r="D38" s="31"/>
      <c r="E38" s="31"/>
      <c r="F38" s="31"/>
      <c r="G38" s="31"/>
      <c r="H38" s="3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7">
    <mergeCell ref="B7:H7"/>
    <mergeCell ref="B9:G9"/>
    <mergeCell ref="B33:H33"/>
    <mergeCell ref="B34:H34"/>
    <mergeCell ref="B37:H37"/>
    <mergeCell ref="B36:H36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8DD4-B02A-44B6-9163-EA7F4D63DBFF}">
  <dimension ref="A1:Z1000"/>
  <sheetViews>
    <sheetView topLeftCell="A7" zoomScale="110" zoomScaleNormal="110" workbookViewId="0">
      <selection activeCell="H31" sqref="H31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98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100</v>
      </c>
      <c r="C9" s="51"/>
      <c r="D9" s="51"/>
      <c r="E9" s="51"/>
      <c r="F9" s="51"/>
      <c r="G9" s="51"/>
      <c r="H9" s="12">
        <f>+'02-2025'!H32</f>
        <v>1540.2250000000076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45721</v>
      </c>
      <c r="C10" s="13" t="s">
        <v>8</v>
      </c>
      <c r="D10" s="23">
        <f>61465.23+2248</f>
        <v>63713.23</v>
      </c>
      <c r="E10" s="23">
        <f>D10-F10</f>
        <v>47784.922500000001</v>
      </c>
      <c r="F10" s="23">
        <f>+D10*0.25</f>
        <v>15928.307500000001</v>
      </c>
      <c r="G10" s="23">
        <f>15366.24+562</f>
        <v>15928.24</v>
      </c>
      <c r="H10" s="12">
        <f>H9+F10-G10</f>
        <v>1540.2925000000087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0">B10+(MOD(B10,7)=6)*2+1</f>
        <v>45722</v>
      </c>
      <c r="C11" s="13" t="s">
        <v>8</v>
      </c>
      <c r="D11" s="23">
        <v>8829.34</v>
      </c>
      <c r="E11" s="23">
        <f t="shared" ref="E11:E30" si="1">D11-F11</f>
        <v>6622.0050000000001</v>
      </c>
      <c r="F11" s="23">
        <f t="shared" ref="F11:F30" si="2">+D11*0.25</f>
        <v>2207.335</v>
      </c>
      <c r="G11" s="23">
        <v>2207.3200000000002</v>
      </c>
      <c r="H11" s="12">
        <f t="shared" ref="H11:H28" si="3">H10+F11-G11</f>
        <v>1540.3075000000085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45723</v>
      </c>
      <c r="C12" s="13" t="s">
        <v>8</v>
      </c>
      <c r="D12" s="23">
        <v>10724.17</v>
      </c>
      <c r="E12" s="23">
        <f t="shared" si="1"/>
        <v>8043.1275000000005</v>
      </c>
      <c r="F12" s="23">
        <f t="shared" si="2"/>
        <v>2681.0425</v>
      </c>
      <c r="G12" s="23">
        <f>1774.23+906.8</f>
        <v>2681.0299999999997</v>
      </c>
      <c r="H12" s="12">
        <f t="shared" si="3"/>
        <v>1540.3200000000088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45726</v>
      </c>
      <c r="C13" s="13" t="s">
        <v>8</v>
      </c>
      <c r="D13" s="23">
        <v>5275.19</v>
      </c>
      <c r="E13" s="23">
        <f t="shared" si="1"/>
        <v>3956.3924999999999</v>
      </c>
      <c r="F13" s="23">
        <f t="shared" si="2"/>
        <v>1318.7974999999999</v>
      </c>
      <c r="G13" s="23">
        <f>880.64+438.15</f>
        <v>1318.79</v>
      </c>
      <c r="H13" s="12">
        <f t="shared" si="3"/>
        <v>1540.3275000000085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45727</v>
      </c>
      <c r="C14" s="13" t="s">
        <v>8</v>
      </c>
      <c r="D14" s="23">
        <v>10858.62</v>
      </c>
      <c r="E14" s="23">
        <f t="shared" si="1"/>
        <v>8143.9650000000001</v>
      </c>
      <c r="F14" s="23">
        <f t="shared" si="2"/>
        <v>2714.6550000000002</v>
      </c>
      <c r="G14" s="23">
        <f>2249.99+464.65</f>
        <v>2714.64</v>
      </c>
      <c r="H14" s="12">
        <f t="shared" si="3"/>
        <v>1540.3425000000093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45728</v>
      </c>
      <c r="C15" s="13" t="s">
        <v>8</v>
      </c>
      <c r="D15" s="23">
        <v>3844.36</v>
      </c>
      <c r="E15" s="23">
        <f t="shared" si="1"/>
        <v>2883.27</v>
      </c>
      <c r="F15" s="23">
        <f t="shared" si="2"/>
        <v>961.09</v>
      </c>
      <c r="G15" s="23">
        <f>580.38+380.7</f>
        <v>961.07999999999993</v>
      </c>
      <c r="H15" s="12">
        <f t="shared" si="3"/>
        <v>1540.3525000000095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45729</v>
      </c>
      <c r="C16" s="13" t="s">
        <v>8</v>
      </c>
      <c r="D16" s="23">
        <v>3300.04</v>
      </c>
      <c r="E16" s="23">
        <f t="shared" si="1"/>
        <v>2475.0299999999997</v>
      </c>
      <c r="F16" s="23">
        <f t="shared" si="2"/>
        <v>825.01</v>
      </c>
      <c r="G16" s="23">
        <f>667.85+157.15</f>
        <v>825</v>
      </c>
      <c r="H16" s="12">
        <f t="shared" si="3"/>
        <v>1540.3625000000093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45730</v>
      </c>
      <c r="C17" s="13" t="s">
        <v>8</v>
      </c>
      <c r="D17" s="23">
        <v>4415.12</v>
      </c>
      <c r="E17" s="23">
        <f t="shared" si="1"/>
        <v>3311.34</v>
      </c>
      <c r="F17" s="23">
        <f t="shared" si="2"/>
        <v>1103.78</v>
      </c>
      <c r="G17" s="23">
        <f>811.12+292.65</f>
        <v>1103.77</v>
      </c>
      <c r="H17" s="12">
        <f t="shared" si="3"/>
        <v>1540.372500000009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45733</v>
      </c>
      <c r="C18" s="13" t="s">
        <v>8</v>
      </c>
      <c r="D18" s="23">
        <v>8402.9</v>
      </c>
      <c r="E18" s="23">
        <f t="shared" si="1"/>
        <v>6302.1749999999993</v>
      </c>
      <c r="F18" s="23">
        <f t="shared" si="2"/>
        <v>2100.7249999999999</v>
      </c>
      <c r="G18" s="23">
        <f>1414.92+690.3</f>
        <v>2105.2200000000003</v>
      </c>
      <c r="H18" s="12">
        <f t="shared" si="3"/>
        <v>1535.8775000000087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45734</v>
      </c>
      <c r="C19" s="13" t="s">
        <v>8</v>
      </c>
      <c r="D19" s="23">
        <v>6743.68</v>
      </c>
      <c r="E19" s="23">
        <f t="shared" si="1"/>
        <v>5057.76</v>
      </c>
      <c r="F19" s="23">
        <f t="shared" si="2"/>
        <v>1685.92</v>
      </c>
      <c r="G19" s="23">
        <f>1337.57+348.35</f>
        <v>1685.92</v>
      </c>
      <c r="H19" s="12">
        <f t="shared" si="3"/>
        <v>1535.8775000000087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45735</v>
      </c>
      <c r="C20" s="13" t="s">
        <v>8</v>
      </c>
      <c r="D20" s="23">
        <v>9192.2099999999991</v>
      </c>
      <c r="E20" s="23">
        <f t="shared" si="1"/>
        <v>6894.1574999999993</v>
      </c>
      <c r="F20" s="23">
        <f t="shared" si="2"/>
        <v>2298.0524999999998</v>
      </c>
      <c r="G20" s="23">
        <f>1475.46+822.58</f>
        <v>2298.04</v>
      </c>
      <c r="H20" s="12">
        <f t="shared" si="3"/>
        <v>1535.8900000000085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45736</v>
      </c>
      <c r="C21" s="13" t="s">
        <v>8</v>
      </c>
      <c r="D21" s="23">
        <v>8947.2099999999991</v>
      </c>
      <c r="E21" s="23">
        <f t="shared" si="1"/>
        <v>6710.4074999999993</v>
      </c>
      <c r="F21" s="23">
        <f t="shared" si="2"/>
        <v>2236.8024999999998</v>
      </c>
      <c r="G21" s="23">
        <f>1592.05+644.75</f>
        <v>2236.8000000000002</v>
      </c>
      <c r="H21" s="12">
        <f>H20+F21-G21</f>
        <v>1535.8925000000081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45737</v>
      </c>
      <c r="C22" s="13" t="s">
        <v>8</v>
      </c>
      <c r="D22" s="23">
        <v>3440</v>
      </c>
      <c r="E22" s="23">
        <f t="shared" si="1"/>
        <v>2580</v>
      </c>
      <c r="F22" s="23">
        <f t="shared" si="2"/>
        <v>860</v>
      </c>
      <c r="G22" s="23">
        <f>602.3+257.7</f>
        <v>860</v>
      </c>
      <c r="H22" s="12">
        <f t="shared" si="3"/>
        <v>1535.8925000000081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45740</v>
      </c>
      <c r="C23" s="13" t="s">
        <v>8</v>
      </c>
      <c r="D23" s="23">
        <v>6231.4</v>
      </c>
      <c r="E23" s="23">
        <f t="shared" si="1"/>
        <v>4673.5499999999993</v>
      </c>
      <c r="F23" s="23">
        <f t="shared" si="2"/>
        <v>1557.85</v>
      </c>
      <c r="G23" s="23">
        <f>1159.1+398.75</f>
        <v>1557.85</v>
      </c>
      <c r="H23" s="12">
        <f t="shared" si="3"/>
        <v>1535.8925000000081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45741</v>
      </c>
      <c r="C24" s="13" t="s">
        <v>8</v>
      </c>
      <c r="D24" s="23">
        <v>4723.83</v>
      </c>
      <c r="E24" s="23">
        <f t="shared" si="1"/>
        <v>3542.8724999999999</v>
      </c>
      <c r="F24" s="23">
        <f t="shared" si="2"/>
        <v>1180.9575</v>
      </c>
      <c r="G24" s="23">
        <f>911.55+269.4</f>
        <v>1180.9499999999998</v>
      </c>
      <c r="H24" s="12">
        <f t="shared" si="3"/>
        <v>1535.9000000000083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45742</v>
      </c>
      <c r="C25" s="13" t="s">
        <v>8</v>
      </c>
      <c r="D25" s="23">
        <v>4838.79</v>
      </c>
      <c r="E25" s="23">
        <f t="shared" si="1"/>
        <v>3629.0924999999997</v>
      </c>
      <c r="F25" s="23">
        <f t="shared" si="2"/>
        <v>1209.6975</v>
      </c>
      <c r="G25" s="23">
        <f>987.23+222.45</f>
        <v>1209.68</v>
      </c>
      <c r="H25" s="12">
        <f t="shared" si="3"/>
        <v>1535.917500000008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45743</v>
      </c>
      <c r="C26" s="13" t="s">
        <v>8</v>
      </c>
      <c r="D26" s="23">
        <v>7905.53</v>
      </c>
      <c r="E26" s="23">
        <f t="shared" si="1"/>
        <v>5929.1475</v>
      </c>
      <c r="F26" s="23">
        <f t="shared" si="2"/>
        <v>1976.3824999999999</v>
      </c>
      <c r="G26" s="23">
        <f>1431.07+545.3</f>
        <v>1976.37</v>
      </c>
      <c r="H26" s="12">
        <f t="shared" si="3"/>
        <v>1535.930000000008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45744</v>
      </c>
      <c r="C27" s="13" t="s">
        <v>8</v>
      </c>
      <c r="D27" s="23">
        <v>8031.48</v>
      </c>
      <c r="E27" s="23">
        <f t="shared" si="1"/>
        <v>6023.61</v>
      </c>
      <c r="F27" s="23">
        <f t="shared" si="2"/>
        <v>2007.87</v>
      </c>
      <c r="G27" s="23">
        <f>1427.74+580.1</f>
        <v>2007.8400000000001</v>
      </c>
      <c r="H27" s="12">
        <f t="shared" si="3"/>
        <v>1535.9600000000078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45747</v>
      </c>
      <c r="C28" s="13" t="s">
        <v>8</v>
      </c>
      <c r="D28" s="23">
        <v>13595.32</v>
      </c>
      <c r="E28" s="23">
        <f t="shared" si="1"/>
        <v>10196.49</v>
      </c>
      <c r="F28" s="23">
        <f t="shared" si="2"/>
        <v>3398.83</v>
      </c>
      <c r="G28" s="23">
        <f>1941.08+1457.7</f>
        <v>3398.7799999999997</v>
      </c>
      <c r="H28" s="12">
        <f t="shared" si="3"/>
        <v>1536.0100000000084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37">
        <v>45735</v>
      </c>
      <c r="C29" s="39" t="s">
        <v>11</v>
      </c>
      <c r="D29" s="38">
        <v>0</v>
      </c>
      <c r="E29" s="23">
        <f t="shared" si="1"/>
        <v>0</v>
      </c>
      <c r="F29" s="23">
        <v>0</v>
      </c>
      <c r="G29" s="23">
        <v>1540.23</v>
      </c>
      <c r="H29" s="12">
        <f>G29-H28</f>
        <v>4.2199999999916145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45747</v>
      </c>
      <c r="C30" s="13" t="s">
        <v>11</v>
      </c>
      <c r="D30" s="38">
        <v>32112.560000000001</v>
      </c>
      <c r="E30" s="23">
        <f t="shared" si="1"/>
        <v>24084.420000000002</v>
      </c>
      <c r="F30" s="23">
        <f t="shared" si="2"/>
        <v>8028.14</v>
      </c>
      <c r="G30" s="23">
        <v>0</v>
      </c>
      <c r="H30" s="12">
        <f>F30</f>
        <v>8028.14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2"/>
      <c r="B31" s="18" t="s">
        <v>9</v>
      </c>
      <c r="C31" s="19"/>
      <c r="D31" s="20">
        <f>SUM(D10:D30)</f>
        <v>225124.97999999998</v>
      </c>
      <c r="E31" s="20">
        <f>SUM(E10:E30)</f>
        <v>168843.73499999999</v>
      </c>
      <c r="F31" s="20">
        <f>SUM(F10:F30)</f>
        <v>56281.244999999995</v>
      </c>
      <c r="G31" s="14">
        <f>SUM(G10:G30)</f>
        <v>49797.55000000001</v>
      </c>
      <c r="H31" s="12">
        <f>+H30</f>
        <v>8028.14</v>
      </c>
      <c r="I31" s="16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9"/>
      <c r="B32" s="60" t="s">
        <v>10</v>
      </c>
      <c r="C32" s="61"/>
      <c r="D32" s="61"/>
      <c r="E32" s="61"/>
      <c r="F32" s="61"/>
      <c r="G32" s="61"/>
      <c r="H32" s="62"/>
      <c r="I32" s="30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41" t="s">
        <v>102</v>
      </c>
      <c r="C33" s="42"/>
      <c r="D33" s="42"/>
      <c r="E33" s="42"/>
      <c r="F33" s="42"/>
      <c r="G33" s="42"/>
      <c r="H33" s="43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31"/>
      <c r="B34" s="55" t="s">
        <v>101</v>
      </c>
      <c r="C34" s="63"/>
      <c r="D34" s="63"/>
      <c r="E34" s="63"/>
      <c r="F34" s="63"/>
      <c r="G34" s="63"/>
      <c r="H34" s="64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x14ac:dyDescent="0.25">
      <c r="A35" s="31"/>
      <c r="B35" s="55"/>
      <c r="C35" s="63"/>
      <c r="D35" s="63"/>
      <c r="E35" s="63"/>
      <c r="F35" s="63"/>
      <c r="G35" s="63"/>
      <c r="H35" s="64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thickBot="1" x14ac:dyDescent="0.3">
      <c r="A36" s="29"/>
      <c r="B36" s="44"/>
      <c r="C36" s="45"/>
      <c r="D36" s="45"/>
      <c r="E36" s="45"/>
      <c r="F36" s="45"/>
      <c r="G36" s="45"/>
      <c r="H36" s="46"/>
      <c r="I36" s="30"/>
      <c r="J36" s="2"/>
      <c r="K36" s="1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31"/>
      <c r="C37" s="31"/>
      <c r="D37" s="31"/>
      <c r="E37" s="31"/>
      <c r="F37" s="31"/>
      <c r="G37" s="31"/>
      <c r="H37" s="3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B36:H36"/>
    <mergeCell ref="B7:H7"/>
    <mergeCell ref="B9:G9"/>
    <mergeCell ref="B32:H32"/>
    <mergeCell ref="B33:H33"/>
    <mergeCell ref="B34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C691B-1D06-4D59-973D-5C282D840451}">
  <dimension ref="A1:Z1002"/>
  <sheetViews>
    <sheetView topLeftCell="A7" zoomScale="110" zoomScaleNormal="110" workbookViewId="0">
      <selection activeCell="H32" sqref="H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104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105</v>
      </c>
      <c r="C9" s="51"/>
      <c r="D9" s="51"/>
      <c r="E9" s="51"/>
      <c r="F9" s="51"/>
      <c r="G9" s="51"/>
      <c r="H9" s="12">
        <f>+'03-2025'!H31</f>
        <v>8028.14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45748</v>
      </c>
      <c r="C10" s="13" t="s">
        <v>8</v>
      </c>
      <c r="D10" s="23">
        <f>45887.69+1897.4</f>
        <v>47785.090000000004</v>
      </c>
      <c r="E10" s="23">
        <f>D10-F10</f>
        <v>35838.817500000005</v>
      </c>
      <c r="F10" s="23">
        <f>+D10*0.25</f>
        <v>11946.272500000001</v>
      </c>
      <c r="G10" s="23">
        <f>11471.82+474.35</f>
        <v>11946.17</v>
      </c>
      <c r="H10" s="12">
        <f>H9+F10-G10</f>
        <v>8028.2425000000021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45749</v>
      </c>
      <c r="C11" s="13" t="s">
        <v>8</v>
      </c>
      <c r="D11" s="23">
        <f>4538.87+163</f>
        <v>4701.87</v>
      </c>
      <c r="E11" s="23">
        <f t="shared" ref="E11:E31" si="1">D11-F11</f>
        <v>3526.4025000000001</v>
      </c>
      <c r="F11" s="23">
        <f>+D11*0.25</f>
        <v>1175.4675</v>
      </c>
      <c r="G11" s="23">
        <f>1134.71+40.75</f>
        <v>1175.46</v>
      </c>
      <c r="H11" s="12">
        <f t="shared" ref="H11:H29" si="2">H10+F11-G11</f>
        <v>8028.2500000000027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45750</v>
      </c>
      <c r="C12" s="13" t="s">
        <v>8</v>
      </c>
      <c r="D12" s="23">
        <v>8970.64</v>
      </c>
      <c r="E12" s="23">
        <f t="shared" si="1"/>
        <v>6727.98</v>
      </c>
      <c r="F12" s="23">
        <f t="shared" ref="F12:F31" si="3">+D12*0.25</f>
        <v>2242.66</v>
      </c>
      <c r="G12" s="23">
        <v>2242.66</v>
      </c>
      <c r="H12" s="12">
        <f t="shared" si="2"/>
        <v>8028.2500000000036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45751</v>
      </c>
      <c r="C13" s="13" t="s">
        <v>8</v>
      </c>
      <c r="D13" s="23">
        <f>3260.22+1320.2+126.4</f>
        <v>4706.82</v>
      </c>
      <c r="E13" s="23">
        <f>D13-F13</f>
        <v>3530.1149999999998</v>
      </c>
      <c r="F13" s="23">
        <f>+D13*0.25</f>
        <v>1176.7049999999999</v>
      </c>
      <c r="G13" s="23">
        <f>815.04+361.65</f>
        <v>1176.69</v>
      </c>
      <c r="H13" s="12">
        <f t="shared" si="2"/>
        <v>8028.2650000000031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45754</v>
      </c>
      <c r="C14" s="13" t="s">
        <v>8</v>
      </c>
      <c r="D14" s="23">
        <f>3468.13+2435.8</f>
        <v>5903.93</v>
      </c>
      <c r="E14" s="23">
        <f t="shared" si="1"/>
        <v>4427.9475000000002</v>
      </c>
      <c r="F14" s="23">
        <f t="shared" si="3"/>
        <v>1475.9825000000001</v>
      </c>
      <c r="G14" s="23">
        <f>867.03+608.95</f>
        <v>1475.98</v>
      </c>
      <c r="H14" s="12">
        <f t="shared" si="2"/>
        <v>8028.2675000000036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45755</v>
      </c>
      <c r="C15" s="13" t="s">
        <v>8</v>
      </c>
      <c r="D15" s="23">
        <f>7961.71+1390.4</f>
        <v>9352.11</v>
      </c>
      <c r="E15" s="23">
        <f t="shared" si="1"/>
        <v>7014.0825000000004</v>
      </c>
      <c r="F15" s="23">
        <f t="shared" si="3"/>
        <v>2338.0275000000001</v>
      </c>
      <c r="G15" s="23">
        <f>1990.39+347.6</f>
        <v>2337.9900000000002</v>
      </c>
      <c r="H15" s="12">
        <f t="shared" si="2"/>
        <v>8028.3050000000039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45756</v>
      </c>
      <c r="C16" s="13" t="s">
        <v>8</v>
      </c>
      <c r="D16" s="23">
        <f>3986.82+126.4</f>
        <v>4113.22</v>
      </c>
      <c r="E16" s="23">
        <f t="shared" si="1"/>
        <v>3084.915</v>
      </c>
      <c r="F16" s="23">
        <f t="shared" si="3"/>
        <v>1028.3050000000001</v>
      </c>
      <c r="G16" s="23">
        <f>996.68+31.6</f>
        <v>1028.28</v>
      </c>
      <c r="H16" s="12">
        <f t="shared" si="2"/>
        <v>8028.3300000000045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45757</v>
      </c>
      <c r="C17" s="13" t="s">
        <v>8</v>
      </c>
      <c r="D17" s="23">
        <f>4114.33+1970.69</f>
        <v>6085.02</v>
      </c>
      <c r="E17" s="23">
        <f t="shared" si="1"/>
        <v>4563.7650000000003</v>
      </c>
      <c r="F17" s="23">
        <f t="shared" si="3"/>
        <v>1521.2550000000001</v>
      </c>
      <c r="G17" s="23">
        <f>1028.57+492.67</f>
        <v>1521.24</v>
      </c>
      <c r="H17" s="12">
        <f t="shared" si="2"/>
        <v>8028.3450000000048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45758</v>
      </c>
      <c r="C18" s="13" t="s">
        <v>8</v>
      </c>
      <c r="D18" s="23">
        <f>2081.29+421.57</f>
        <v>2502.86</v>
      </c>
      <c r="E18" s="23">
        <f t="shared" si="1"/>
        <v>1877.145</v>
      </c>
      <c r="F18" s="23">
        <f t="shared" si="3"/>
        <v>625.71500000000003</v>
      </c>
      <c r="G18" s="23">
        <f>520.31+105.39</f>
        <v>625.69999999999993</v>
      </c>
      <c r="H18" s="12">
        <f t="shared" si="2"/>
        <v>8028.3600000000051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45761</v>
      </c>
      <c r="C19" s="13" t="s">
        <v>8</v>
      </c>
      <c r="D19" s="23">
        <f>3323.71+2707.1</f>
        <v>6030.8099999999995</v>
      </c>
      <c r="E19" s="23">
        <f t="shared" si="1"/>
        <v>4523.1075000000001</v>
      </c>
      <c r="F19" s="23">
        <f t="shared" si="3"/>
        <v>1507.7024999999999</v>
      </c>
      <c r="G19" s="23">
        <f>830.92+676.77</f>
        <v>1507.69</v>
      </c>
      <c r="H19" s="12">
        <f t="shared" si="2"/>
        <v>8028.3725000000049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45762</v>
      </c>
      <c r="C20" s="13" t="s">
        <v>8</v>
      </c>
      <c r="D20" s="23">
        <f>2348.31+1300.6</f>
        <v>3648.91</v>
      </c>
      <c r="E20" s="23">
        <f t="shared" si="1"/>
        <v>2736.6824999999999</v>
      </c>
      <c r="F20" s="23">
        <f t="shared" si="3"/>
        <v>912.22749999999996</v>
      </c>
      <c r="G20" s="23">
        <f>587.07+325.15</f>
        <v>912.22</v>
      </c>
      <c r="H20" s="12">
        <f t="shared" si="2"/>
        <v>8028.3800000000056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45763</v>
      </c>
      <c r="C21" s="13" t="s">
        <v>8</v>
      </c>
      <c r="D21" s="23">
        <f>3098.35+741.8</f>
        <v>3840.1499999999996</v>
      </c>
      <c r="E21" s="23">
        <f t="shared" si="1"/>
        <v>2880.1124999999997</v>
      </c>
      <c r="F21" s="23">
        <f t="shared" si="3"/>
        <v>960.03749999999991</v>
      </c>
      <c r="G21" s="23">
        <f>774.58+185.45</f>
        <v>960.03</v>
      </c>
      <c r="H21" s="12">
        <f>H20+F21-G21</f>
        <v>8028.3875000000053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45764</v>
      </c>
      <c r="C22" s="13" t="s">
        <v>8</v>
      </c>
      <c r="D22" s="23">
        <f>3877.54+326</f>
        <v>4203.54</v>
      </c>
      <c r="E22" s="23">
        <f t="shared" si="1"/>
        <v>3152.6549999999997</v>
      </c>
      <c r="F22" s="23">
        <f t="shared" si="3"/>
        <v>1050.885</v>
      </c>
      <c r="G22" s="23">
        <f>969.38+81.5</f>
        <v>1050.8800000000001</v>
      </c>
      <c r="H22" s="12">
        <f t="shared" si="2"/>
        <v>8028.3925000000045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B22+(MOD(B22,7)=6)*2+5</f>
        <v>45769</v>
      </c>
      <c r="C23" s="13" t="s">
        <v>8</v>
      </c>
      <c r="D23" s="23">
        <f>3915.94+834.4</f>
        <v>4750.34</v>
      </c>
      <c r="E23" s="23">
        <f t="shared" si="1"/>
        <v>3562.7550000000001</v>
      </c>
      <c r="F23" s="23">
        <f t="shared" si="3"/>
        <v>1187.585</v>
      </c>
      <c r="G23" s="23">
        <f>1187.58</f>
        <v>1187.58</v>
      </c>
      <c r="H23" s="12">
        <f t="shared" si="2"/>
        <v>8028.3975000000046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45770</v>
      </c>
      <c r="C24" s="13" t="s">
        <v>8</v>
      </c>
      <c r="D24" s="23">
        <f>5769.46+126.4</f>
        <v>5895.86</v>
      </c>
      <c r="E24" s="23">
        <f t="shared" si="1"/>
        <v>4421.8949999999995</v>
      </c>
      <c r="F24" s="23">
        <f t="shared" si="3"/>
        <v>1473.9649999999999</v>
      </c>
      <c r="G24" s="23">
        <f>1442.35+31.6</f>
        <v>1473.9499999999998</v>
      </c>
      <c r="H24" s="12">
        <f t="shared" si="2"/>
        <v>8028.4125000000049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>B24+(MOD(B24,7)=6)*2+1</f>
        <v>45771</v>
      </c>
      <c r="C25" s="13" t="s">
        <v>8</v>
      </c>
      <c r="D25" s="23">
        <f>5722.27+2102</f>
        <v>7824.27</v>
      </c>
      <c r="E25" s="23">
        <f t="shared" si="1"/>
        <v>5868.2025000000003</v>
      </c>
      <c r="F25" s="23">
        <f t="shared" si="3"/>
        <v>1956.0675000000001</v>
      </c>
      <c r="G25" s="23">
        <f>1430.55+525.5</f>
        <v>1956.05</v>
      </c>
      <c r="H25" s="12">
        <f>H24+F25-G25</f>
        <v>8028.4300000000048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45772</v>
      </c>
      <c r="C26" s="13" t="s">
        <v>8</v>
      </c>
      <c r="D26" s="23">
        <f>2893.94+289.4</f>
        <v>3183.34</v>
      </c>
      <c r="E26" s="23">
        <f t="shared" si="1"/>
        <v>2387.5050000000001</v>
      </c>
      <c r="F26" s="23">
        <f t="shared" si="3"/>
        <v>795.83500000000004</v>
      </c>
      <c r="G26" s="23">
        <f>723.48+72.35</f>
        <v>795.83</v>
      </c>
      <c r="H26" s="12">
        <f t="shared" si="2"/>
        <v>8028.4350000000049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45775</v>
      </c>
      <c r="C27" s="13" t="s">
        <v>8</v>
      </c>
      <c r="D27" s="23">
        <f>2721.91+720</f>
        <v>3441.91</v>
      </c>
      <c r="E27" s="23">
        <f t="shared" si="1"/>
        <v>2581.4324999999999</v>
      </c>
      <c r="F27" s="23">
        <f t="shared" si="3"/>
        <v>860.47749999999996</v>
      </c>
      <c r="G27" s="23">
        <f>680.47+180</f>
        <v>860.47</v>
      </c>
      <c r="H27" s="12">
        <f t="shared" si="2"/>
        <v>8028.4425000000056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45776</v>
      </c>
      <c r="C28" s="13" t="s">
        <v>8</v>
      </c>
      <c r="D28" s="23">
        <f>4194.91+4128.6</f>
        <v>8323.51</v>
      </c>
      <c r="E28" s="23">
        <f t="shared" si="1"/>
        <v>6242.6324999999997</v>
      </c>
      <c r="F28" s="23">
        <f t="shared" si="3"/>
        <v>2080.8775000000001</v>
      </c>
      <c r="G28" s="23">
        <f>1048.72+1032.15</f>
        <v>2080.87</v>
      </c>
      <c r="H28" s="12">
        <f t="shared" si="2"/>
        <v>8028.4500000000053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45777</v>
      </c>
      <c r="C29" s="13" t="s">
        <v>8</v>
      </c>
      <c r="D29" s="38">
        <f>11533.16+6912.51</f>
        <v>18445.669999999998</v>
      </c>
      <c r="E29" s="23">
        <f t="shared" si="1"/>
        <v>13834.252499999999</v>
      </c>
      <c r="F29" s="23">
        <f t="shared" si="3"/>
        <v>4611.4174999999996</v>
      </c>
      <c r="G29" s="23">
        <f>2883.28+1728.12</f>
        <v>4611.3999999999996</v>
      </c>
      <c r="H29" s="12">
        <f t="shared" si="2"/>
        <v>8028.4675000000043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45770</v>
      </c>
      <c r="C30" s="39" t="s">
        <v>11</v>
      </c>
      <c r="D30" s="38">
        <v>0</v>
      </c>
      <c r="E30" s="23">
        <f t="shared" si="1"/>
        <v>0</v>
      </c>
      <c r="F30" s="23">
        <v>0</v>
      </c>
      <c r="G30" s="23">
        <v>8028.14</v>
      </c>
      <c r="H30" s="12">
        <f>G30-H29</f>
        <v>-0.3275000000039654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37">
        <v>45777</v>
      </c>
      <c r="C31" s="13" t="s">
        <v>11</v>
      </c>
      <c r="D31" s="38">
        <v>22059.200000000001</v>
      </c>
      <c r="E31" s="23">
        <f t="shared" si="1"/>
        <v>16544.400000000001</v>
      </c>
      <c r="F31" s="23">
        <f t="shared" si="3"/>
        <v>5514.8</v>
      </c>
      <c r="G31" s="23">
        <v>0</v>
      </c>
      <c r="H31" s="12">
        <f>F31</f>
        <v>5514.8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185769.07</v>
      </c>
      <c r="E32" s="20">
        <f>SUM(E10:E31)</f>
        <v>139326.80250000002</v>
      </c>
      <c r="F32" s="20">
        <f>SUM(F10:F31)</f>
        <v>46442.267500000002</v>
      </c>
      <c r="G32" s="14">
        <f>SUM(G10:G31)</f>
        <v>48955.280000000006</v>
      </c>
      <c r="H32" s="12">
        <f>+H31</f>
        <v>5514.8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0" t="s">
        <v>10</v>
      </c>
      <c r="C33" s="61"/>
      <c r="D33" s="61"/>
      <c r="E33" s="61"/>
      <c r="F33" s="61"/>
      <c r="G33" s="61"/>
      <c r="H33" s="62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1" t="s">
        <v>106</v>
      </c>
      <c r="C34" s="42"/>
      <c r="D34" s="42"/>
      <c r="E34" s="42"/>
      <c r="F34" s="42"/>
      <c r="G34" s="42"/>
      <c r="H34" s="43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1" t="s">
        <v>107</v>
      </c>
      <c r="C35" s="65"/>
      <c r="D35" s="65"/>
      <c r="E35" s="65"/>
      <c r="F35" s="65"/>
      <c r="G35" s="65"/>
      <c r="H35" s="66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55" t="s">
        <v>108</v>
      </c>
      <c r="C36" s="63"/>
      <c r="D36" s="63"/>
      <c r="E36" s="63"/>
      <c r="F36" s="63"/>
      <c r="G36" s="63"/>
      <c r="H36" s="64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55"/>
      <c r="C37" s="63"/>
      <c r="D37" s="63"/>
      <c r="E37" s="63"/>
      <c r="F37" s="63"/>
      <c r="G37" s="63"/>
      <c r="H37" s="64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44"/>
      <c r="C38" s="45"/>
      <c r="D38" s="45"/>
      <c r="E38" s="45"/>
      <c r="F38" s="45"/>
      <c r="G38" s="45"/>
      <c r="H38" s="46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6:H37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  <ignoredErrors>
    <ignoredError sqref="B2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DF782-2F74-4200-B933-42088F669477}">
  <dimension ref="A1:Z1002"/>
  <sheetViews>
    <sheetView topLeftCell="A4" zoomScale="110" zoomScaleNormal="110" workbookViewId="0">
      <selection activeCell="H9" sqref="H9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112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110</v>
      </c>
      <c r="C9" s="51"/>
      <c r="D9" s="51"/>
      <c r="E9" s="51"/>
      <c r="F9" s="51"/>
      <c r="G9" s="51"/>
      <c r="H9" s="12">
        <f>+'04-2025'!H31</f>
        <v>5514.8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45779</v>
      </c>
      <c r="C10" s="13" t="s">
        <v>8</v>
      </c>
      <c r="D10" s="23">
        <f>39576.8+3249.6</f>
        <v>42826.400000000001</v>
      </c>
      <c r="E10" s="23">
        <f>D10-F10</f>
        <v>32119.800000000003</v>
      </c>
      <c r="F10" s="23">
        <f>+D10*0.25</f>
        <v>10706.6</v>
      </c>
      <c r="G10" s="23">
        <f>9894.11+812.4</f>
        <v>10706.51</v>
      </c>
      <c r="H10" s="12">
        <f>H9+F10-G10</f>
        <v>5514.8900000000012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45782</v>
      </c>
      <c r="C11" s="13" t="s">
        <v>8</v>
      </c>
      <c r="D11" s="23">
        <f>7110.27+2105.2</f>
        <v>9215.4700000000012</v>
      </c>
      <c r="E11" s="23">
        <f t="shared" ref="E11:E30" si="1">D11-F11</f>
        <v>6911.6025000000009</v>
      </c>
      <c r="F11" s="23">
        <f>+D11*0.25</f>
        <v>2303.8675000000003</v>
      </c>
      <c r="G11" s="23">
        <f>1777.56+526.3</f>
        <v>2303.8599999999997</v>
      </c>
      <c r="H11" s="12">
        <f t="shared" ref="H11:H29" si="2">H10+F11-G11</f>
        <v>5514.8975000000019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45783</v>
      </c>
      <c r="C12" s="13" t="s">
        <v>8</v>
      </c>
      <c r="D12" s="23">
        <f>15670.19+3385.6</f>
        <v>19055.79</v>
      </c>
      <c r="E12" s="23">
        <f t="shared" si="1"/>
        <v>14291.842500000001</v>
      </c>
      <c r="F12" s="23">
        <f t="shared" ref="F12:F30" si="3">+D12*0.25</f>
        <v>4763.9475000000002</v>
      </c>
      <c r="G12" s="23">
        <f>3917.52+846.4</f>
        <v>4763.92</v>
      </c>
      <c r="H12" s="12">
        <f t="shared" si="2"/>
        <v>5514.9250000000011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45784</v>
      </c>
      <c r="C13" s="13" t="s">
        <v>8</v>
      </c>
      <c r="D13" s="23">
        <f>6903.36+2779</f>
        <v>9682.36</v>
      </c>
      <c r="E13" s="23">
        <f>D13-F13</f>
        <v>7261.77</v>
      </c>
      <c r="F13" s="23">
        <f>+D13*0.25</f>
        <v>2420.59</v>
      </c>
      <c r="G13" s="23">
        <f>1725.83+649.75</f>
        <v>2375.58</v>
      </c>
      <c r="H13" s="12">
        <f t="shared" si="2"/>
        <v>5559.9350000000013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45785</v>
      </c>
      <c r="C14" s="13" t="s">
        <v>8</v>
      </c>
      <c r="D14" s="23">
        <f>5884.42+1643.2</f>
        <v>7527.62</v>
      </c>
      <c r="E14" s="23">
        <f t="shared" si="1"/>
        <v>5645.7150000000001</v>
      </c>
      <c r="F14" s="23">
        <f t="shared" si="3"/>
        <v>1881.905</v>
      </c>
      <c r="G14" s="23">
        <f>1471.09+410.8</f>
        <v>1881.8899999999999</v>
      </c>
      <c r="H14" s="12">
        <f t="shared" si="2"/>
        <v>5559.9500000000007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45786</v>
      </c>
      <c r="C15" s="13" t="s">
        <v>8</v>
      </c>
      <c r="D15" s="23">
        <f>13538.45+1173.6</f>
        <v>14712.050000000001</v>
      </c>
      <c r="E15" s="23">
        <f t="shared" si="1"/>
        <v>11034.0375</v>
      </c>
      <c r="F15" s="23">
        <f t="shared" si="3"/>
        <v>3678.0125000000003</v>
      </c>
      <c r="G15" s="23">
        <f>3384.6+293.4</f>
        <v>3678</v>
      </c>
      <c r="H15" s="12">
        <f t="shared" si="2"/>
        <v>5559.9625000000015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45789</v>
      </c>
      <c r="C16" s="13" t="s">
        <v>8</v>
      </c>
      <c r="D16" s="23">
        <f>10865.06+2308.4</f>
        <v>13173.46</v>
      </c>
      <c r="E16" s="23">
        <f t="shared" si="1"/>
        <v>9880.0949999999993</v>
      </c>
      <c r="F16" s="23">
        <f t="shared" si="3"/>
        <v>3293.3649999999998</v>
      </c>
      <c r="G16" s="23">
        <f>2716.25+577.1</f>
        <v>3293.35</v>
      </c>
      <c r="H16" s="12">
        <f t="shared" si="2"/>
        <v>5559.9775000000009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45790</v>
      </c>
      <c r="C17" s="13" t="s">
        <v>8</v>
      </c>
      <c r="D17" s="23">
        <f>12882.45+3193</f>
        <v>16075.45</v>
      </c>
      <c r="E17" s="23">
        <f t="shared" si="1"/>
        <v>12056.587500000001</v>
      </c>
      <c r="F17" s="23">
        <f t="shared" si="3"/>
        <v>4018.8625000000002</v>
      </c>
      <c r="G17" s="23">
        <f>3220.59+798.25</f>
        <v>4018.84</v>
      </c>
      <c r="H17" s="12">
        <f t="shared" si="2"/>
        <v>5560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45791</v>
      </c>
      <c r="C18" s="13" t="s">
        <v>8</v>
      </c>
      <c r="D18" s="23">
        <f>5942.28+1009.4</f>
        <v>6951.6799999999994</v>
      </c>
      <c r="E18" s="23">
        <f t="shared" si="1"/>
        <v>5213.7599999999993</v>
      </c>
      <c r="F18" s="23">
        <f t="shared" si="3"/>
        <v>1737.9199999999998</v>
      </c>
      <c r="G18" s="23">
        <f>1485.56+252.35</f>
        <v>1737.9099999999999</v>
      </c>
      <c r="H18" s="12">
        <f t="shared" si="2"/>
        <v>5560.01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45792</v>
      </c>
      <c r="C19" s="13" t="s">
        <v>8</v>
      </c>
      <c r="D19" s="23">
        <f>9838.93+2528</f>
        <v>12366.93</v>
      </c>
      <c r="E19" s="23">
        <f t="shared" si="1"/>
        <v>9275.1975000000002</v>
      </c>
      <c r="F19" s="23">
        <f t="shared" si="3"/>
        <v>3091.7325000000001</v>
      </c>
      <c r="G19" s="23">
        <f>2459.72+632</f>
        <v>3091.72</v>
      </c>
      <c r="H19" s="12">
        <f t="shared" si="2"/>
        <v>5560.0225000000009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45793</v>
      </c>
      <c r="C20" s="13" t="s">
        <v>8</v>
      </c>
      <c r="D20" s="23">
        <f>3760.81+2298.2</f>
        <v>6059.01</v>
      </c>
      <c r="E20" s="23">
        <f t="shared" si="1"/>
        <v>4544.2574999999997</v>
      </c>
      <c r="F20" s="23">
        <f t="shared" si="3"/>
        <v>1514.7525000000001</v>
      </c>
      <c r="G20" s="23">
        <f>940.2+574.55</f>
        <v>1514.75</v>
      </c>
      <c r="H20" s="12">
        <f t="shared" si="2"/>
        <v>5560.0250000000015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45796</v>
      </c>
      <c r="C21" s="13" t="s">
        <v>8</v>
      </c>
      <c r="D21" s="23">
        <f>4536.47+3575.8</f>
        <v>8112.27</v>
      </c>
      <c r="E21" s="23">
        <f t="shared" si="1"/>
        <v>6084.2025000000003</v>
      </c>
      <c r="F21" s="23">
        <f t="shared" si="3"/>
        <v>2028.0675000000001</v>
      </c>
      <c r="G21" s="23">
        <f>1134.11+893.95</f>
        <v>2028.06</v>
      </c>
      <c r="H21" s="12">
        <f>H20+F21-G21</f>
        <v>5560.0325000000012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45797</v>
      </c>
      <c r="C22" s="13" t="s">
        <v>8</v>
      </c>
      <c r="D22" s="23">
        <f>9776.24+1686.4</f>
        <v>11462.64</v>
      </c>
      <c r="E22" s="23">
        <f t="shared" si="1"/>
        <v>8596.98</v>
      </c>
      <c r="F22" s="23">
        <f t="shared" si="3"/>
        <v>2865.66</v>
      </c>
      <c r="G22" s="23">
        <f>2444.06+421.6</f>
        <v>2865.66</v>
      </c>
      <c r="H22" s="12">
        <f t="shared" si="2"/>
        <v>5560.0325000000012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45798</v>
      </c>
      <c r="C23" s="13" t="s">
        <v>8</v>
      </c>
      <c r="D23" s="23">
        <f>8625.22+2566.73</f>
        <v>11191.949999999999</v>
      </c>
      <c r="E23" s="23">
        <f t="shared" si="1"/>
        <v>8393.9624999999996</v>
      </c>
      <c r="F23" s="23">
        <f t="shared" si="3"/>
        <v>2797.9874999999997</v>
      </c>
      <c r="G23" s="23">
        <f>2156.29+641.68</f>
        <v>2797.97</v>
      </c>
      <c r="H23" s="12">
        <f t="shared" si="2"/>
        <v>5560.0500000000011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45799</v>
      </c>
      <c r="C24" s="13" t="s">
        <v>8</v>
      </c>
      <c r="D24" s="23">
        <f>14674.71+126.4</f>
        <v>14801.109999999999</v>
      </c>
      <c r="E24" s="23">
        <f t="shared" si="1"/>
        <v>11100.832499999999</v>
      </c>
      <c r="F24" s="23">
        <f t="shared" si="3"/>
        <v>3700.2774999999997</v>
      </c>
      <c r="G24" s="23">
        <f>3668.66+31.6</f>
        <v>3700.2599999999998</v>
      </c>
      <c r="H24" s="12">
        <f t="shared" si="2"/>
        <v>5560.067500000001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45800</v>
      </c>
      <c r="C25" s="13" t="s">
        <v>8</v>
      </c>
      <c r="D25" s="23">
        <f>9040.97+1990.12</f>
        <v>11031.09</v>
      </c>
      <c r="E25" s="23">
        <f t="shared" si="1"/>
        <v>8273.317500000001</v>
      </c>
      <c r="F25" s="23">
        <f t="shared" si="3"/>
        <v>2757.7725</v>
      </c>
      <c r="G25" s="23">
        <f>2260.24+497.53</f>
        <v>2757.7699999999995</v>
      </c>
      <c r="H25" s="12">
        <f>H24+F25-G25</f>
        <v>5560.0700000000006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45803</v>
      </c>
      <c r="C26" s="13" t="s">
        <v>8</v>
      </c>
      <c r="D26" s="23">
        <f>8439+7390.2</f>
        <v>15829.2</v>
      </c>
      <c r="E26" s="23">
        <f t="shared" si="1"/>
        <v>11871.900000000001</v>
      </c>
      <c r="F26" s="23">
        <f t="shared" si="3"/>
        <v>3957.3</v>
      </c>
      <c r="G26" s="23">
        <f>2109.75+1847.55</f>
        <v>3957.3</v>
      </c>
      <c r="H26" s="12">
        <f t="shared" si="2"/>
        <v>5560.0700000000006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45804</v>
      </c>
      <c r="C27" s="13" t="s">
        <v>8</v>
      </c>
      <c r="D27" s="23">
        <f>33094.95+3689</f>
        <v>36783.949999999997</v>
      </c>
      <c r="E27" s="23">
        <f t="shared" si="1"/>
        <v>27587.962499999998</v>
      </c>
      <c r="F27" s="23">
        <f t="shared" si="3"/>
        <v>9195.9874999999993</v>
      </c>
      <c r="G27" s="23">
        <f>8273.72+922.25</f>
        <v>9195.9699999999993</v>
      </c>
      <c r="H27" s="12">
        <f t="shared" si="2"/>
        <v>5560.0874999999996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45805</v>
      </c>
      <c r="C28" s="13" t="s">
        <v>8</v>
      </c>
      <c r="D28" s="23">
        <f>14384.24+3346</f>
        <v>17730.239999999998</v>
      </c>
      <c r="E28" s="23">
        <f t="shared" si="1"/>
        <v>13297.679999999998</v>
      </c>
      <c r="F28" s="23">
        <f t="shared" si="3"/>
        <v>4432.5599999999995</v>
      </c>
      <c r="G28" s="23">
        <f>3596.03+836.5</f>
        <v>4432.5300000000007</v>
      </c>
      <c r="H28" s="12">
        <f t="shared" si="2"/>
        <v>5560.1174999999985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45806</v>
      </c>
      <c r="C29" s="13" t="s">
        <v>8</v>
      </c>
      <c r="D29" s="38">
        <f>15235.24+6265.4</f>
        <v>21500.639999999999</v>
      </c>
      <c r="E29" s="23">
        <f t="shared" si="1"/>
        <v>16125.48</v>
      </c>
      <c r="F29" s="23">
        <f t="shared" si="3"/>
        <v>5375.16</v>
      </c>
      <c r="G29" s="23">
        <f>3808.81+1566.35</f>
        <v>5375.16</v>
      </c>
      <c r="H29" s="12">
        <f t="shared" si="2"/>
        <v>5560.1174999999985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/>
      <c r="B30" s="22">
        <f t="shared" si="0"/>
        <v>45807</v>
      </c>
      <c r="C30" s="39" t="s">
        <v>11</v>
      </c>
      <c r="D30" s="38">
        <f>36493.21+30004.07</f>
        <v>66497.279999999999</v>
      </c>
      <c r="E30" s="23">
        <f t="shared" si="1"/>
        <v>49872.959999999999</v>
      </c>
      <c r="F30" s="23">
        <f t="shared" si="3"/>
        <v>16624.32</v>
      </c>
      <c r="G30" s="23">
        <f>9123.28+7501.01</f>
        <v>16624.29</v>
      </c>
      <c r="H30" s="12">
        <f>H29+F30-G30</f>
        <v>5560.1474999999991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12</v>
      </c>
      <c r="B31" s="22">
        <v>45800</v>
      </c>
      <c r="C31" s="13" t="s">
        <v>11</v>
      </c>
      <c r="D31" s="38">
        <v>22059.200000000001</v>
      </c>
      <c r="E31" s="23">
        <f>D31-F31</f>
        <v>22059.200000000001</v>
      </c>
      <c r="F31" s="23">
        <v>0</v>
      </c>
      <c r="G31" s="23">
        <v>5514.8</v>
      </c>
      <c r="H31" s="12">
        <f>H30-G31</f>
        <v>45.347499999998945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394645.79</v>
      </c>
      <c r="E32" s="20">
        <f>SUM(E10:E31)</f>
        <v>301499.14250000002</v>
      </c>
      <c r="F32" s="20">
        <f>SUM(F10:F31)</f>
        <v>93146.647499999992</v>
      </c>
      <c r="G32" s="14">
        <f>SUM(G10:G31)</f>
        <v>98616.10000000002</v>
      </c>
      <c r="H32" s="12">
        <f>+H31</f>
        <v>45.347499999998945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0" t="s">
        <v>10</v>
      </c>
      <c r="C33" s="61"/>
      <c r="D33" s="61"/>
      <c r="E33" s="61"/>
      <c r="F33" s="61"/>
      <c r="G33" s="61"/>
      <c r="H33" s="62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1" t="s">
        <v>113</v>
      </c>
      <c r="C34" s="42"/>
      <c r="D34" s="42"/>
      <c r="E34" s="42"/>
      <c r="F34" s="42"/>
      <c r="G34" s="42"/>
      <c r="H34" s="43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1" t="s">
        <v>111</v>
      </c>
      <c r="C35" s="65"/>
      <c r="D35" s="65"/>
      <c r="E35" s="65"/>
      <c r="F35" s="65"/>
      <c r="G35" s="65"/>
      <c r="H35" s="66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55"/>
      <c r="C36" s="63"/>
      <c r="D36" s="63"/>
      <c r="E36" s="63"/>
      <c r="F36" s="63"/>
      <c r="G36" s="63"/>
      <c r="H36" s="64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55"/>
      <c r="C37" s="63"/>
      <c r="D37" s="63"/>
      <c r="E37" s="63"/>
      <c r="F37" s="63"/>
      <c r="G37" s="63"/>
      <c r="H37" s="64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44"/>
      <c r="C38" s="45"/>
      <c r="D38" s="45"/>
      <c r="E38" s="45"/>
      <c r="F38" s="45"/>
      <c r="G38" s="45"/>
      <c r="H38" s="46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5D1F6-0D64-4B59-9784-7C782E7D68D6}">
  <dimension ref="A1:Z1002"/>
  <sheetViews>
    <sheetView topLeftCell="A4" zoomScale="110" zoomScaleNormal="110" workbookViewId="0">
      <selection activeCell="H32" sqref="H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115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114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116</v>
      </c>
      <c r="C9" s="51"/>
      <c r="D9" s="51"/>
      <c r="E9" s="51"/>
      <c r="F9" s="51"/>
      <c r="G9" s="51"/>
      <c r="H9" s="12">
        <f>+'05-2025'!H31</f>
        <v>45.347499999998945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45810</v>
      </c>
      <c r="C10" s="13" t="s">
        <v>8</v>
      </c>
      <c r="D10" s="23">
        <f>304210.08+9669.75</f>
        <v>313879.83</v>
      </c>
      <c r="E10" s="23">
        <f>D10-F10</f>
        <v>235409.8725</v>
      </c>
      <c r="F10" s="23">
        <f>+D10*0.25</f>
        <v>78469.957500000004</v>
      </c>
      <c r="G10" s="23">
        <f>76052.34+2417.37</f>
        <v>78469.709999999992</v>
      </c>
      <c r="H10" s="12">
        <f>H9+F10-G10</f>
        <v>45.595000000015716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45811</v>
      </c>
      <c r="C11" s="13" t="s">
        <v>8</v>
      </c>
      <c r="D11" s="23">
        <f>12658.94+4741.67</f>
        <v>17400.61</v>
      </c>
      <c r="E11" s="23">
        <f t="shared" ref="E11:E29" si="1">D11-F11</f>
        <v>13050.4575</v>
      </c>
      <c r="F11" s="23">
        <f>+D11*0.25</f>
        <v>4350.1525000000001</v>
      </c>
      <c r="G11" s="23">
        <f>3164.61+1185.39</f>
        <v>4350</v>
      </c>
      <c r="H11" s="12">
        <f t="shared" ref="H11:H29" si="2">H10+F11-G11</f>
        <v>45.747500000015862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45812</v>
      </c>
      <c r="C12" s="13" t="s">
        <v>8</v>
      </c>
      <c r="D12" s="23">
        <f>9601.96+2423.66</f>
        <v>12025.619999999999</v>
      </c>
      <c r="E12" s="23">
        <f t="shared" si="1"/>
        <v>9019.2150000000001</v>
      </c>
      <c r="F12" s="23">
        <f t="shared" ref="F12:F31" si="3">+D12*0.25</f>
        <v>3006.4049999999997</v>
      </c>
      <c r="G12" s="23">
        <f>2400.42+605.9</f>
        <v>3006.32</v>
      </c>
      <c r="H12" s="12">
        <f t="shared" si="2"/>
        <v>45.832500000015443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45813</v>
      </c>
      <c r="C13" s="13" t="s">
        <v>8</v>
      </c>
      <c r="D13" s="23">
        <f>10994.61+3316.83</f>
        <v>14311.44</v>
      </c>
      <c r="E13" s="23">
        <f>D13-F13</f>
        <v>10733.58</v>
      </c>
      <c r="F13" s="23">
        <f>+D13*0.25</f>
        <v>3577.86</v>
      </c>
      <c r="G13" s="23">
        <f>2748.58+829.2</f>
        <v>3577.7799999999997</v>
      </c>
      <c r="H13" s="12">
        <f t="shared" si="2"/>
        <v>45.912500000015825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45814</v>
      </c>
      <c r="C14" s="13" t="s">
        <v>8</v>
      </c>
      <c r="D14" s="23">
        <f>5654.66+2423.92</f>
        <v>8078.58</v>
      </c>
      <c r="E14" s="23">
        <f t="shared" si="1"/>
        <v>6058.9349999999995</v>
      </c>
      <c r="F14" s="23">
        <f t="shared" si="3"/>
        <v>2019.645</v>
      </c>
      <c r="G14" s="23">
        <f>1413.62+605.97</f>
        <v>2019.59</v>
      </c>
      <c r="H14" s="12">
        <f t="shared" si="2"/>
        <v>45.967500000015889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45817</v>
      </c>
      <c r="C15" s="13" t="s">
        <v>8</v>
      </c>
      <c r="D15" s="23">
        <f>13318.79+2103.96</f>
        <v>15422.75</v>
      </c>
      <c r="E15" s="23">
        <f t="shared" si="1"/>
        <v>11567.0625</v>
      </c>
      <c r="F15" s="23">
        <f t="shared" si="3"/>
        <v>3855.6875</v>
      </c>
      <c r="G15" s="23">
        <f>3329.63+525.98</f>
        <v>3855.61</v>
      </c>
      <c r="H15" s="12">
        <f t="shared" si="2"/>
        <v>46.045000000015989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45818</v>
      </c>
      <c r="C16" s="13" t="s">
        <v>8</v>
      </c>
      <c r="D16" s="23">
        <f>5074.43+4238.88</f>
        <v>9313.3100000000013</v>
      </c>
      <c r="E16" s="23">
        <f t="shared" si="1"/>
        <v>6984.982500000001</v>
      </c>
      <c r="F16" s="23">
        <f t="shared" si="3"/>
        <v>2328.3275000000003</v>
      </c>
      <c r="G16" s="23">
        <f>1268.56+1059.7</f>
        <v>2328.2600000000002</v>
      </c>
      <c r="H16" s="12">
        <f t="shared" si="2"/>
        <v>46.112500000016098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45819</v>
      </c>
      <c r="C17" s="13" t="s">
        <v>8</v>
      </c>
      <c r="D17" s="23">
        <f>11440.51+1512.23</f>
        <v>12952.74</v>
      </c>
      <c r="E17" s="23">
        <f t="shared" si="1"/>
        <v>9714.5550000000003</v>
      </c>
      <c r="F17" s="23">
        <f t="shared" si="3"/>
        <v>3238.1849999999999</v>
      </c>
      <c r="G17" s="23">
        <f>2860.07+378.05</f>
        <v>3238.1200000000003</v>
      </c>
      <c r="H17" s="12">
        <f t="shared" si="2"/>
        <v>46.177500000015698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45820</v>
      </c>
      <c r="C18" s="13" t="s">
        <v>8</v>
      </c>
      <c r="D18" s="23">
        <f>3777.08+492</f>
        <v>4269.08</v>
      </c>
      <c r="E18" s="23">
        <f t="shared" si="1"/>
        <v>3201.81</v>
      </c>
      <c r="F18" s="23">
        <f t="shared" si="3"/>
        <v>1067.27</v>
      </c>
      <c r="G18" s="23">
        <f>944.24+123</f>
        <v>1067.24</v>
      </c>
      <c r="H18" s="12">
        <f t="shared" si="2"/>
        <v>46.207500000015671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45821</v>
      </c>
      <c r="C19" s="13" t="s">
        <v>8</v>
      </c>
      <c r="D19" s="23">
        <f>4703.33+211</f>
        <v>4914.33</v>
      </c>
      <c r="E19" s="23">
        <f t="shared" si="1"/>
        <v>3685.7474999999999</v>
      </c>
      <c r="F19" s="23">
        <f t="shared" si="3"/>
        <v>1228.5825</v>
      </c>
      <c r="G19" s="23">
        <f>1175.81+52.75</f>
        <v>1228.56</v>
      </c>
      <c r="H19" s="12">
        <f t="shared" si="2"/>
        <v>46.230000000015707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45824</v>
      </c>
      <c r="C20" s="13" t="s">
        <v>8</v>
      </c>
      <c r="D20" s="23">
        <f>5047.75+414</f>
        <v>5461.75</v>
      </c>
      <c r="E20" s="23">
        <f t="shared" si="1"/>
        <v>4096.3125</v>
      </c>
      <c r="F20" s="23">
        <f t="shared" si="3"/>
        <v>1365.4375</v>
      </c>
      <c r="G20" s="23">
        <f>1261.9+103.5</f>
        <v>1365.4</v>
      </c>
      <c r="H20" s="12">
        <f t="shared" si="2"/>
        <v>46.267500000015616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45825</v>
      </c>
      <c r="C21" s="13" t="s">
        <v>8</v>
      </c>
      <c r="D21" s="23">
        <f>5305.24+841.35</f>
        <v>6146.59</v>
      </c>
      <c r="E21" s="23">
        <f t="shared" si="1"/>
        <v>4609.9425000000001</v>
      </c>
      <c r="F21" s="23">
        <f t="shared" si="3"/>
        <v>1536.6475</v>
      </c>
      <c r="G21" s="23">
        <f>1326.28+210.33</f>
        <v>1536.61</v>
      </c>
      <c r="H21" s="12">
        <f>H20+F21-G21</f>
        <v>46.305000000015752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45826</v>
      </c>
      <c r="C22" s="13" t="s">
        <v>8</v>
      </c>
      <c r="D22" s="23">
        <f>1058.59+966.44</f>
        <v>2025.03</v>
      </c>
      <c r="E22" s="23">
        <f t="shared" si="1"/>
        <v>1518.7725</v>
      </c>
      <c r="F22" s="23">
        <f t="shared" si="3"/>
        <v>506.25749999999999</v>
      </c>
      <c r="G22" s="23">
        <f>264.64+241.61</f>
        <v>506.25</v>
      </c>
      <c r="H22" s="12">
        <f t="shared" si="2"/>
        <v>46.312500000015689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B22+(MOD(B22,7)=6)*2+1+1</f>
        <v>45828</v>
      </c>
      <c r="C23" s="13" t="s">
        <v>8</v>
      </c>
      <c r="D23" s="23">
        <f>1345.57+1172.45</f>
        <v>2518.02</v>
      </c>
      <c r="E23" s="23">
        <f t="shared" si="1"/>
        <v>1888.5149999999999</v>
      </c>
      <c r="F23" s="23">
        <f t="shared" si="3"/>
        <v>629.505</v>
      </c>
      <c r="G23" s="23">
        <f>336.36+293.11</f>
        <v>629.47</v>
      </c>
      <c r="H23" s="12">
        <f t="shared" si="2"/>
        <v>46.347500000015657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45831</v>
      </c>
      <c r="C24" s="13" t="s">
        <v>8</v>
      </c>
      <c r="D24" s="23">
        <f>1098.97+1993.96</f>
        <v>3092.9300000000003</v>
      </c>
      <c r="E24" s="23">
        <f t="shared" si="1"/>
        <v>2319.6975000000002</v>
      </c>
      <c r="F24" s="23">
        <f t="shared" si="3"/>
        <v>773.23250000000007</v>
      </c>
      <c r="G24" s="23">
        <f>274.72+498.48</f>
        <v>773.2</v>
      </c>
      <c r="H24" s="12">
        <f>H23+F24-G24</f>
        <v>46.380000000015684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45832</v>
      </c>
      <c r="C25" s="13" t="s">
        <v>8</v>
      </c>
      <c r="D25" s="23">
        <f>4376.57+5523.23</f>
        <v>9899.7999999999993</v>
      </c>
      <c r="E25" s="23">
        <f t="shared" si="1"/>
        <v>7424.8499999999995</v>
      </c>
      <c r="F25" s="23">
        <f t="shared" si="3"/>
        <v>2474.9499999999998</v>
      </c>
      <c r="G25" s="23">
        <f>1094.12+1380.8</f>
        <v>2474.92</v>
      </c>
      <c r="H25" s="12">
        <f>H24+F25-G25</f>
        <v>46.410000000015316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45833</v>
      </c>
      <c r="C26" s="13" t="s">
        <v>8</v>
      </c>
      <c r="D26" s="23">
        <f>4535.5+751.04</f>
        <v>5286.54</v>
      </c>
      <c r="E26" s="23">
        <f t="shared" si="1"/>
        <v>3964.9049999999997</v>
      </c>
      <c r="F26" s="23">
        <f t="shared" si="3"/>
        <v>1321.635</v>
      </c>
      <c r="G26" s="23">
        <f>1133.86+187.76</f>
        <v>1321.62</v>
      </c>
      <c r="H26" s="12">
        <f t="shared" si="2"/>
        <v>46.425000000015416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45834</v>
      </c>
      <c r="C27" s="13" t="s">
        <v>8</v>
      </c>
      <c r="D27" s="23">
        <f>7282.98+2039.5</f>
        <v>9322.48</v>
      </c>
      <c r="E27" s="23">
        <f t="shared" si="1"/>
        <v>6991.86</v>
      </c>
      <c r="F27" s="23">
        <f t="shared" si="3"/>
        <v>2330.62</v>
      </c>
      <c r="G27" s="23">
        <f>1820.72+509.87</f>
        <v>2330.59</v>
      </c>
      <c r="H27" s="12">
        <f t="shared" si="2"/>
        <v>46.455000000015389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45835</v>
      </c>
      <c r="C28" s="13" t="s">
        <v>8</v>
      </c>
      <c r="D28" s="23">
        <f>5356.95+1106.08</f>
        <v>6463.03</v>
      </c>
      <c r="E28" s="23">
        <f t="shared" si="1"/>
        <v>4847.2725</v>
      </c>
      <c r="F28" s="23">
        <f t="shared" si="3"/>
        <v>1615.7574999999999</v>
      </c>
      <c r="G28" s="23">
        <f>1339.22+276.52</f>
        <v>1615.74</v>
      </c>
      <c r="H28" s="12">
        <f t="shared" si="2"/>
        <v>46.472500000015316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45838</v>
      </c>
      <c r="C29" s="13" t="s">
        <v>8</v>
      </c>
      <c r="D29" s="38">
        <f>2084.91+4030.23</f>
        <v>6115.1399999999994</v>
      </c>
      <c r="E29" s="23">
        <f t="shared" si="1"/>
        <v>4586.3549999999996</v>
      </c>
      <c r="F29" s="23">
        <f t="shared" si="3"/>
        <v>1528.7849999999999</v>
      </c>
      <c r="G29" s="23">
        <f>521.2+1007.54</f>
        <v>1528.74</v>
      </c>
      <c r="H29" s="12">
        <f t="shared" si="2"/>
        <v>46.517500000015161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22">
        <v>45800</v>
      </c>
      <c r="C30" s="39" t="s">
        <v>11</v>
      </c>
      <c r="D30" s="38">
        <v>0</v>
      </c>
      <c r="E30" s="23">
        <f>D30-F30</f>
        <v>0</v>
      </c>
      <c r="F30" s="23">
        <f t="shared" si="3"/>
        <v>0</v>
      </c>
      <c r="G30" s="23">
        <v>45.35</v>
      </c>
      <c r="H30" s="12">
        <f>H29+F30-G30</f>
        <v>1.1675000000151599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22">
        <v>45800</v>
      </c>
      <c r="C31" s="13" t="s">
        <v>11</v>
      </c>
      <c r="D31" s="38">
        <v>3181.39</v>
      </c>
      <c r="E31" s="23">
        <f>D31-F31</f>
        <v>2386.0425</v>
      </c>
      <c r="F31" s="23">
        <f t="shared" si="3"/>
        <v>795.34749999999997</v>
      </c>
      <c r="G31" s="23">
        <v>0</v>
      </c>
      <c r="H31" s="12">
        <f>F31</f>
        <v>795.34749999999997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472080.99000000011</v>
      </c>
      <c r="E32" s="20">
        <f>SUM(E10:E31)</f>
        <v>354060.74249999999</v>
      </c>
      <c r="F32" s="20">
        <f>SUM(F10:F31)</f>
        <v>118020.24750000003</v>
      </c>
      <c r="G32" s="14">
        <f>SUM(G10:G31)</f>
        <v>117269.07999999999</v>
      </c>
      <c r="H32" s="12">
        <f>+H31</f>
        <v>795.34749999999997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0" t="s">
        <v>10</v>
      </c>
      <c r="C33" s="61"/>
      <c r="D33" s="61"/>
      <c r="E33" s="61"/>
      <c r="F33" s="61"/>
      <c r="G33" s="61"/>
      <c r="H33" s="62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1" t="s">
        <v>119</v>
      </c>
      <c r="C34" s="42"/>
      <c r="D34" s="42"/>
      <c r="E34" s="42"/>
      <c r="F34" s="42"/>
      <c r="G34" s="42"/>
      <c r="H34" s="43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1" t="s">
        <v>117</v>
      </c>
      <c r="C35" s="65"/>
      <c r="D35" s="65"/>
      <c r="E35" s="65"/>
      <c r="F35" s="65"/>
      <c r="G35" s="65"/>
      <c r="H35" s="66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55" t="s">
        <v>118</v>
      </c>
      <c r="C36" s="63"/>
      <c r="D36" s="63"/>
      <c r="E36" s="63"/>
      <c r="F36" s="63"/>
      <c r="G36" s="63"/>
      <c r="H36" s="64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55"/>
      <c r="C37" s="63"/>
      <c r="D37" s="63"/>
      <c r="E37" s="63"/>
      <c r="F37" s="63"/>
      <c r="G37" s="63"/>
      <c r="H37" s="64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44"/>
      <c r="C38" s="45"/>
      <c r="D38" s="45"/>
      <c r="E38" s="45"/>
      <c r="F38" s="45"/>
      <c r="G38" s="45"/>
      <c r="H38" s="46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3BE42-231C-41F5-ADD6-2D3A099433DA}">
  <dimension ref="A1:Z1004"/>
  <sheetViews>
    <sheetView topLeftCell="A4" zoomScale="110" zoomScaleNormal="110" workbookViewId="0">
      <selection activeCell="J33" activeCellId="1" sqref="F33 J3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123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124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116</v>
      </c>
      <c r="C9" s="51"/>
      <c r="D9" s="51"/>
      <c r="E9" s="51"/>
      <c r="F9" s="51"/>
      <c r="G9" s="51"/>
      <c r="H9" s="12">
        <f>+'06-2025'!H32</f>
        <v>795.34749999999997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45839</v>
      </c>
      <c r="C10" s="13" t="s">
        <v>8</v>
      </c>
      <c r="D10" s="23">
        <f>19039.52+3565.86</f>
        <v>22605.38</v>
      </c>
      <c r="E10" s="23">
        <f>D10-F10</f>
        <v>16954.035</v>
      </c>
      <c r="F10" s="23">
        <f>+D10*0.25</f>
        <v>5651.3450000000003</v>
      </c>
      <c r="G10" s="23">
        <f>4759.68+891.44</f>
        <v>5651.1200000000008</v>
      </c>
      <c r="H10" s="12">
        <f>H9+F10-G10</f>
        <v>795.57249999999931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45840</v>
      </c>
      <c r="C11" s="13" t="s">
        <v>8</v>
      </c>
      <c r="D11" s="23">
        <f>2694.61+921.59</f>
        <v>3616.2000000000003</v>
      </c>
      <c r="E11" s="23">
        <f t="shared" ref="E11:E32" si="1">D11-F11</f>
        <v>2712.15</v>
      </c>
      <c r="F11" s="23">
        <f>+D11*0.25</f>
        <v>904.05000000000007</v>
      </c>
      <c r="G11" s="23">
        <f>673.63+230.39</f>
        <v>904.02</v>
      </c>
      <c r="H11" s="12">
        <f t="shared" ref="H11:H31" si="2">H10+F11-G11</f>
        <v>795.60249999999951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45841</v>
      </c>
      <c r="C12" s="13" t="s">
        <v>8</v>
      </c>
      <c r="D12" s="23">
        <f>2853.66+326</f>
        <v>3179.66</v>
      </c>
      <c r="E12" s="23">
        <f t="shared" si="1"/>
        <v>2384.7449999999999</v>
      </c>
      <c r="F12" s="23">
        <f t="shared" ref="F12:F33" si="3">+D12*0.25</f>
        <v>794.91499999999996</v>
      </c>
      <c r="G12" s="23">
        <f>713.4+81.5</f>
        <v>794.9</v>
      </c>
      <c r="H12" s="12">
        <f t="shared" si="2"/>
        <v>795.6174999999995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45842</v>
      </c>
      <c r="C13" s="13" t="s">
        <v>8</v>
      </c>
      <c r="D13" s="23">
        <f>1622.27+267.26</f>
        <v>1889.53</v>
      </c>
      <c r="E13" s="23">
        <f>D13-F13</f>
        <v>1417.1475</v>
      </c>
      <c r="F13" s="23">
        <f>+D13*0.25</f>
        <v>472.38249999999999</v>
      </c>
      <c r="G13" s="23">
        <f>405.55+66.81</f>
        <v>472.36</v>
      </c>
      <c r="H13" s="12">
        <f t="shared" si="2"/>
        <v>795.63999999999953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45845</v>
      </c>
      <c r="C14" s="13" t="s">
        <v>8</v>
      </c>
      <c r="D14" s="23">
        <f>2865.61+2360.21</f>
        <v>5225.82</v>
      </c>
      <c r="E14" s="23">
        <f t="shared" si="1"/>
        <v>3919.3649999999998</v>
      </c>
      <c r="F14" s="23">
        <f t="shared" si="3"/>
        <v>1306.4549999999999</v>
      </c>
      <c r="G14" s="23">
        <f>716.39+590.04</f>
        <v>1306.4299999999998</v>
      </c>
      <c r="H14" s="12">
        <f t="shared" si="2"/>
        <v>795.66499999999951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45846</v>
      </c>
      <c r="C15" s="13" t="s">
        <v>8</v>
      </c>
      <c r="D15" s="23">
        <f>4420.27+1291.83</f>
        <v>5712.1</v>
      </c>
      <c r="E15" s="23">
        <f t="shared" si="1"/>
        <v>4284.0750000000007</v>
      </c>
      <c r="F15" s="23">
        <f t="shared" si="3"/>
        <v>1428.0250000000001</v>
      </c>
      <c r="G15" s="23">
        <f>1105.03+322.95</f>
        <v>1427.98</v>
      </c>
      <c r="H15" s="12">
        <f t="shared" si="2"/>
        <v>795.70999999999958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45847</v>
      </c>
      <c r="C16" s="13" t="s">
        <v>8</v>
      </c>
      <c r="D16" s="23">
        <f>448.75+2092.42</f>
        <v>2541.17</v>
      </c>
      <c r="E16" s="23">
        <f t="shared" si="1"/>
        <v>1905.8775000000001</v>
      </c>
      <c r="F16" s="23">
        <f t="shared" si="3"/>
        <v>635.29250000000002</v>
      </c>
      <c r="G16" s="23">
        <f>112.18+523.09</f>
        <v>635.27</v>
      </c>
      <c r="H16" s="12">
        <f t="shared" si="2"/>
        <v>795.73249999999962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45848</v>
      </c>
      <c r="C17" s="13" t="s">
        <v>8</v>
      </c>
      <c r="D17" s="23">
        <f>1871.31+2177.01</f>
        <v>4048.32</v>
      </c>
      <c r="E17" s="23">
        <f t="shared" si="1"/>
        <v>3036.2400000000002</v>
      </c>
      <c r="F17" s="23">
        <f t="shared" si="3"/>
        <v>1012.08</v>
      </c>
      <c r="G17" s="23">
        <f>467.82+544.22</f>
        <v>1012.04</v>
      </c>
      <c r="H17" s="12">
        <f t="shared" si="2"/>
        <v>795.77249999999958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45849</v>
      </c>
      <c r="C18" s="13" t="s">
        <v>8</v>
      </c>
      <c r="D18" s="23">
        <f>10652.82+326</f>
        <v>10978.82</v>
      </c>
      <c r="E18" s="23">
        <f t="shared" si="1"/>
        <v>8234.1149999999998</v>
      </c>
      <c r="F18" s="23">
        <f t="shared" si="3"/>
        <v>2744.7049999999999</v>
      </c>
      <c r="G18" s="23">
        <f>2663.17+81.5</f>
        <v>2744.67</v>
      </c>
      <c r="H18" s="12">
        <f t="shared" si="2"/>
        <v>795.80749999999944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45852</v>
      </c>
      <c r="C19" s="13" t="s">
        <v>8</v>
      </c>
      <c r="D19" s="23">
        <f>4244.4+4305.07</f>
        <v>8549.4699999999993</v>
      </c>
      <c r="E19" s="23">
        <f t="shared" si="1"/>
        <v>6412.1024999999991</v>
      </c>
      <c r="F19" s="23">
        <f t="shared" si="3"/>
        <v>2137.3674999999998</v>
      </c>
      <c r="G19" s="23">
        <f>1061.07+1076.26</f>
        <v>2137.33</v>
      </c>
      <c r="H19" s="12">
        <f t="shared" si="2"/>
        <v>795.84499999999935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45853</v>
      </c>
      <c r="C20" s="13" t="s">
        <v>8</v>
      </c>
      <c r="D20" s="23">
        <f>11911.14+1556</f>
        <v>13467.14</v>
      </c>
      <c r="E20" s="23">
        <f t="shared" si="1"/>
        <v>10100.355</v>
      </c>
      <c r="F20" s="23">
        <f t="shared" si="3"/>
        <v>3366.7849999999999</v>
      </c>
      <c r="G20" s="23">
        <f>2977.7+389</f>
        <v>3366.7</v>
      </c>
      <c r="H20" s="12">
        <f t="shared" si="2"/>
        <v>795.92999999999938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45854</v>
      </c>
      <c r="C21" s="13" t="s">
        <v>8</v>
      </c>
      <c r="D21" s="23">
        <f>6363.42+2893.72</f>
        <v>9257.14</v>
      </c>
      <c r="E21" s="23">
        <f t="shared" si="1"/>
        <v>6942.8549999999996</v>
      </c>
      <c r="F21" s="23">
        <f t="shared" si="3"/>
        <v>2314.2849999999999</v>
      </c>
      <c r="G21" s="23">
        <f>1590.82+723.42</f>
        <v>2314.2399999999998</v>
      </c>
      <c r="H21" s="12">
        <f>H20+F21-G21</f>
        <v>795.97499999999945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45855</v>
      </c>
      <c r="C22" s="13" t="s">
        <v>8</v>
      </c>
      <c r="D22" s="23">
        <f>3434.52+1064</f>
        <v>4498.5200000000004</v>
      </c>
      <c r="E22" s="23">
        <f t="shared" si="1"/>
        <v>3373.8900000000003</v>
      </c>
      <c r="F22" s="23">
        <f t="shared" si="3"/>
        <v>1124.6300000000001</v>
      </c>
      <c r="G22" s="23">
        <f>858.61+266</f>
        <v>1124.6100000000001</v>
      </c>
      <c r="H22" s="12">
        <f t="shared" si="2"/>
        <v>795.99499999999944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</f>
        <v>45856</v>
      </c>
      <c r="C23" s="13" t="s">
        <v>8</v>
      </c>
      <c r="D23" s="23">
        <f>3106.23+2946.22</f>
        <v>6052.45</v>
      </c>
      <c r="E23" s="23">
        <f t="shared" si="1"/>
        <v>4539.3374999999996</v>
      </c>
      <c r="F23" s="23">
        <f t="shared" si="3"/>
        <v>1513.1125</v>
      </c>
      <c r="G23" s="23">
        <f>776.53+736.55</f>
        <v>1513.08</v>
      </c>
      <c r="H23" s="12">
        <f t="shared" si="2"/>
        <v>796.02749999999924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45859</v>
      </c>
      <c r="C24" s="13" t="s">
        <v>8</v>
      </c>
      <c r="D24" s="23">
        <f>5569.04+1621.07</f>
        <v>7190.11</v>
      </c>
      <c r="E24" s="23">
        <f t="shared" si="1"/>
        <v>5392.5824999999995</v>
      </c>
      <c r="F24" s="23">
        <f t="shared" si="3"/>
        <v>1797.5274999999999</v>
      </c>
      <c r="G24" s="23">
        <f>1392.23+405.26</f>
        <v>1797.49</v>
      </c>
      <c r="H24" s="12">
        <f>H23+F24-G24</f>
        <v>796.06499999999937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45860</v>
      </c>
      <c r="C25" s="13" t="s">
        <v>8</v>
      </c>
      <c r="D25" s="23">
        <f>9875.42+2930.11</f>
        <v>12805.53</v>
      </c>
      <c r="E25" s="23">
        <f t="shared" si="1"/>
        <v>9604.1475000000009</v>
      </c>
      <c r="F25" s="23">
        <f t="shared" si="3"/>
        <v>3201.3825000000002</v>
      </c>
      <c r="G25" s="23">
        <f>2468.84+732.52</f>
        <v>3201.36</v>
      </c>
      <c r="H25" s="12">
        <f>H24+F25-G25</f>
        <v>796.08749999999918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45861</v>
      </c>
      <c r="C26" s="13" t="s">
        <v>8</v>
      </c>
      <c r="D26" s="23">
        <f>3849.4+3696.5</f>
        <v>7545.9</v>
      </c>
      <c r="E26" s="23">
        <f t="shared" si="1"/>
        <v>5659.4249999999993</v>
      </c>
      <c r="F26" s="23">
        <f t="shared" si="3"/>
        <v>1886.4749999999999</v>
      </c>
      <c r="G26" s="23">
        <f>962.33+924.12</f>
        <v>1886.45</v>
      </c>
      <c r="H26" s="12">
        <f t="shared" si="2"/>
        <v>796.11249999999905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45862</v>
      </c>
      <c r="C27" s="13" t="s">
        <v>8</v>
      </c>
      <c r="D27" s="23">
        <f>2717.6+2452.52</f>
        <v>5170.12</v>
      </c>
      <c r="E27" s="23">
        <f t="shared" si="1"/>
        <v>3877.59</v>
      </c>
      <c r="F27" s="23">
        <f t="shared" si="3"/>
        <v>1292.53</v>
      </c>
      <c r="G27" s="23">
        <f>679.39+613.12</f>
        <v>1292.51</v>
      </c>
      <c r="H27" s="12">
        <f t="shared" si="2"/>
        <v>796.13249999999903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45863</v>
      </c>
      <c r="C28" s="13" t="s">
        <v>8</v>
      </c>
      <c r="D28" s="23">
        <f>5487.45+123</f>
        <v>5610.45</v>
      </c>
      <c r="E28" s="23">
        <f t="shared" si="1"/>
        <v>4207.8374999999996</v>
      </c>
      <c r="F28" s="23">
        <f t="shared" si="3"/>
        <v>1402.6125</v>
      </c>
      <c r="G28" s="23">
        <f>1371.84+30.75</f>
        <v>1402.59</v>
      </c>
      <c r="H28" s="12">
        <f t="shared" si="2"/>
        <v>796.15499999999906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45866</v>
      </c>
      <c r="C29" s="13" t="s">
        <v>8</v>
      </c>
      <c r="D29" s="38">
        <f>4345.77+1644</f>
        <v>5989.77</v>
      </c>
      <c r="E29" s="23">
        <f t="shared" si="1"/>
        <v>4492.3275000000003</v>
      </c>
      <c r="F29" s="23">
        <f t="shared" si="3"/>
        <v>1497.4425000000001</v>
      </c>
      <c r="G29" s="23">
        <f>1086.4+411</f>
        <v>1497.4</v>
      </c>
      <c r="H29" s="12">
        <f t="shared" si="2"/>
        <v>796.19749999999885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1"/>
      <c r="B30" s="22">
        <f t="shared" si="0"/>
        <v>45867</v>
      </c>
      <c r="C30" s="13" t="s">
        <v>8</v>
      </c>
      <c r="D30" s="38">
        <f>13415.59+1095.97</f>
        <v>14511.56</v>
      </c>
      <c r="E30" s="23">
        <f t="shared" si="1"/>
        <v>10883.67</v>
      </c>
      <c r="F30" s="23">
        <f t="shared" si="3"/>
        <v>3627.89</v>
      </c>
      <c r="G30" s="23">
        <f>3353.88+273.99</f>
        <v>3627.87</v>
      </c>
      <c r="H30" s="12">
        <f t="shared" si="2"/>
        <v>796.21749999999884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1"/>
      <c r="B31" s="22">
        <f t="shared" si="0"/>
        <v>45868</v>
      </c>
      <c r="C31" s="13" t="s">
        <v>8</v>
      </c>
      <c r="D31" s="38">
        <f>5817.5+5266.16</f>
        <v>11083.66</v>
      </c>
      <c r="E31" s="23">
        <f t="shared" si="1"/>
        <v>8312.744999999999</v>
      </c>
      <c r="F31" s="23">
        <f t="shared" si="3"/>
        <v>2770.915</v>
      </c>
      <c r="G31" s="23">
        <f>1454.34+1316.5</f>
        <v>2770.84</v>
      </c>
      <c r="H31" s="12">
        <f t="shared" si="2"/>
        <v>796.29249999999865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31"/>
      <c r="B32" s="22">
        <f t="shared" si="0"/>
        <v>45869</v>
      </c>
      <c r="C32" s="13" t="s">
        <v>8</v>
      </c>
      <c r="D32" s="38">
        <f>32146.5+326</f>
        <v>32472.5</v>
      </c>
      <c r="E32" s="23">
        <f t="shared" si="1"/>
        <v>24354.375</v>
      </c>
      <c r="F32" s="23">
        <f t="shared" si="3"/>
        <v>8118.125</v>
      </c>
      <c r="G32" s="23">
        <f>8036.32+81.5</f>
        <v>8117.82</v>
      </c>
      <c r="H32" s="12">
        <f>H31+F32-G32</f>
        <v>796.59749999999985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customHeight="1" x14ac:dyDescent="0.25">
      <c r="A33" s="32" t="s">
        <v>13</v>
      </c>
      <c r="B33" s="22">
        <v>45869</v>
      </c>
      <c r="C33" s="13" t="s">
        <v>11</v>
      </c>
      <c r="D33" s="38">
        <v>17854.27</v>
      </c>
      <c r="E33" s="23">
        <f>D33-F33</f>
        <v>13390.702499999999</v>
      </c>
      <c r="F33" s="23">
        <f t="shared" si="3"/>
        <v>4463.5675000000001</v>
      </c>
      <c r="G33" s="23">
        <v>0</v>
      </c>
      <c r="H33" s="12">
        <f>H32+F33-G33</f>
        <v>5260.165</v>
      </c>
      <c r="I33" s="31"/>
      <c r="J33" s="40">
        <f>H32-H9</f>
        <v>1.2499999999998863</v>
      </c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221855.58999999997</v>
      </c>
      <c r="E34" s="20">
        <f>SUM(E10:E33)</f>
        <v>166391.6925</v>
      </c>
      <c r="F34" s="20">
        <f>SUM(F10:F33)</f>
        <v>55463.897499999992</v>
      </c>
      <c r="G34" s="14">
        <f>SUM(G10:G33)</f>
        <v>50999.080000000009</v>
      </c>
      <c r="H34" s="12">
        <f>+H33</f>
        <v>5260.165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60" t="s">
        <v>10</v>
      </c>
      <c r="C35" s="61"/>
      <c r="D35" s="61"/>
      <c r="E35" s="61"/>
      <c r="F35" s="61"/>
      <c r="G35" s="61"/>
      <c r="H35" s="62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41" t="s">
        <v>122</v>
      </c>
      <c r="C36" s="42"/>
      <c r="D36" s="42"/>
      <c r="E36" s="42"/>
      <c r="F36" s="42"/>
      <c r="G36" s="42"/>
      <c r="H36" s="43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41" t="s">
        <v>120</v>
      </c>
      <c r="C37" s="65"/>
      <c r="D37" s="65"/>
      <c r="E37" s="65"/>
      <c r="F37" s="65"/>
      <c r="G37" s="65"/>
      <c r="H37" s="66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55" t="s">
        <v>121</v>
      </c>
      <c r="C38" s="63"/>
      <c r="D38" s="63"/>
      <c r="E38" s="63"/>
      <c r="F38" s="63"/>
      <c r="G38" s="63"/>
      <c r="H38" s="64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55"/>
      <c r="C39" s="63"/>
      <c r="D39" s="63"/>
      <c r="E39" s="63"/>
      <c r="F39" s="63"/>
      <c r="G39" s="63"/>
      <c r="H39" s="64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44"/>
      <c r="C40" s="45"/>
      <c r="D40" s="45"/>
      <c r="E40" s="45"/>
      <c r="F40" s="45"/>
      <c r="G40" s="45"/>
      <c r="H40" s="46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7"/>
  <sheetViews>
    <sheetView topLeftCell="A7" workbookViewId="0">
      <selection activeCell="A27" sqref="A27:XFD2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18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27</v>
      </c>
      <c r="C9" s="51"/>
      <c r="D9" s="51"/>
      <c r="E9" s="51"/>
      <c r="F9" s="51"/>
      <c r="G9" s="51"/>
      <c r="H9" s="12">
        <v>8299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45323</v>
      </c>
      <c r="C10" s="13" t="s">
        <v>8</v>
      </c>
      <c r="D10" s="23">
        <v>573872.93000000005</v>
      </c>
      <c r="E10" s="23">
        <f t="shared" ref="E10:E36" si="0">D10-F10</f>
        <v>430406.80000000005</v>
      </c>
      <c r="F10" s="23">
        <v>143466.13</v>
      </c>
      <c r="G10" s="23">
        <f t="shared" ref="G10:G28" si="1">F10</f>
        <v>143466.13</v>
      </c>
      <c r="H10" s="12">
        <f t="shared" ref="H10:H35" si="2">H9+F10-G10</f>
        <v>8299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3">B10+(MOD(B10,7)=6)*2+1</f>
        <v>45324</v>
      </c>
      <c r="C11" s="13" t="s">
        <v>8</v>
      </c>
      <c r="D11" s="23">
        <v>18568.32</v>
      </c>
      <c r="E11" s="23">
        <f t="shared" si="0"/>
        <v>13926.36</v>
      </c>
      <c r="F11" s="24">
        <v>4641.96</v>
      </c>
      <c r="G11" s="23">
        <f t="shared" si="1"/>
        <v>4641.96</v>
      </c>
      <c r="H11" s="12">
        <f t="shared" si="2"/>
        <v>8299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45327</v>
      </c>
      <c r="C12" s="13" t="s">
        <v>8</v>
      </c>
      <c r="D12" s="23">
        <v>7536.63</v>
      </c>
      <c r="E12" s="23">
        <f t="shared" si="0"/>
        <v>5652.5300000000007</v>
      </c>
      <c r="F12" s="24">
        <v>1884.1</v>
      </c>
      <c r="G12" s="23">
        <f t="shared" si="1"/>
        <v>1884.1</v>
      </c>
      <c r="H12" s="12">
        <f t="shared" si="2"/>
        <v>8299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45328</v>
      </c>
      <c r="C13" s="13" t="s">
        <v>8</v>
      </c>
      <c r="D13" s="23">
        <v>18831.560000000001</v>
      </c>
      <c r="E13" s="23">
        <f t="shared" si="0"/>
        <v>14123.830000000002</v>
      </c>
      <c r="F13" s="24">
        <v>4707.7299999999996</v>
      </c>
      <c r="G13" s="23">
        <f t="shared" si="1"/>
        <v>4707.7299999999996</v>
      </c>
      <c r="H13" s="12">
        <f t="shared" si="2"/>
        <v>8299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45329</v>
      </c>
      <c r="C14" s="13" t="s">
        <v>8</v>
      </c>
      <c r="D14" s="23">
        <v>9398.58</v>
      </c>
      <c r="E14" s="23">
        <f t="shared" si="0"/>
        <v>7049.03</v>
      </c>
      <c r="F14" s="24">
        <v>2349.5500000000002</v>
      </c>
      <c r="G14" s="23">
        <f t="shared" si="1"/>
        <v>2349.5500000000002</v>
      </c>
      <c r="H14" s="12">
        <f t="shared" si="2"/>
        <v>8299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45330</v>
      </c>
      <c r="C15" s="13" t="s">
        <v>8</v>
      </c>
      <c r="D15" s="23">
        <v>9384.84</v>
      </c>
      <c r="E15" s="23">
        <f t="shared" si="0"/>
        <v>7038.74</v>
      </c>
      <c r="F15" s="25">
        <v>2346.1</v>
      </c>
      <c r="G15" s="23">
        <f t="shared" si="1"/>
        <v>2346.1</v>
      </c>
      <c r="H15" s="12">
        <f t="shared" si="2"/>
        <v>8299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45331</v>
      </c>
      <c r="C16" s="13" t="s">
        <v>8</v>
      </c>
      <c r="D16" s="23">
        <v>8032.44</v>
      </c>
      <c r="E16" s="23">
        <f t="shared" si="0"/>
        <v>6024.42</v>
      </c>
      <c r="F16" s="25">
        <v>2008.02</v>
      </c>
      <c r="G16" s="23">
        <f t="shared" si="1"/>
        <v>2008.02</v>
      </c>
      <c r="H16" s="12">
        <f t="shared" si="2"/>
        <v>8299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v>45336</v>
      </c>
      <c r="C17" s="13" t="s">
        <v>8</v>
      </c>
      <c r="D17" s="23">
        <v>9463.2000000000007</v>
      </c>
      <c r="E17" s="23">
        <f t="shared" si="0"/>
        <v>7097.4900000000007</v>
      </c>
      <c r="F17" s="25">
        <v>2365.71</v>
      </c>
      <c r="G17" s="23">
        <f t="shared" si="1"/>
        <v>2365.71</v>
      </c>
      <c r="H17" s="12">
        <f t="shared" si="2"/>
        <v>8299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45337</v>
      </c>
      <c r="C18" s="13" t="s">
        <v>8</v>
      </c>
      <c r="D18" s="23">
        <v>15818.87</v>
      </c>
      <c r="E18" s="23">
        <f t="shared" si="0"/>
        <v>11864.25</v>
      </c>
      <c r="F18" s="25">
        <v>3954.62</v>
      </c>
      <c r="G18" s="23">
        <f t="shared" si="1"/>
        <v>3954.62</v>
      </c>
      <c r="H18" s="12">
        <f t="shared" si="2"/>
        <v>8299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45338</v>
      </c>
      <c r="C19" s="13" t="s">
        <v>8</v>
      </c>
      <c r="D19" s="23">
        <v>6276.29</v>
      </c>
      <c r="E19" s="23">
        <f t="shared" si="0"/>
        <v>4707.28</v>
      </c>
      <c r="F19" s="25">
        <v>1569.01</v>
      </c>
      <c r="G19" s="23">
        <f t="shared" si="1"/>
        <v>1569.01</v>
      </c>
      <c r="H19" s="12">
        <f t="shared" si="2"/>
        <v>8299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45341</v>
      </c>
      <c r="C20" s="13" t="s">
        <v>8</v>
      </c>
      <c r="D20" s="23">
        <v>6731.12</v>
      </c>
      <c r="E20" s="23">
        <f t="shared" si="0"/>
        <v>5048.3899999999994</v>
      </c>
      <c r="F20" s="25">
        <v>1682.73</v>
      </c>
      <c r="G20" s="23">
        <f t="shared" si="1"/>
        <v>1682.73</v>
      </c>
      <c r="H20" s="12">
        <f t="shared" si="2"/>
        <v>8299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45342</v>
      </c>
      <c r="C21" s="13" t="s">
        <v>8</v>
      </c>
      <c r="D21" s="23">
        <v>16028.12</v>
      </c>
      <c r="E21" s="23">
        <f t="shared" si="0"/>
        <v>12021.230000000001</v>
      </c>
      <c r="F21" s="25">
        <v>4006.89</v>
      </c>
      <c r="G21" s="23">
        <f t="shared" si="1"/>
        <v>4006.89</v>
      </c>
      <c r="H21" s="12">
        <f t="shared" si="2"/>
        <v>8299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45343</v>
      </c>
      <c r="C22" s="13" t="s">
        <v>8</v>
      </c>
      <c r="D22" s="23">
        <v>6875.96</v>
      </c>
      <c r="E22" s="23">
        <f t="shared" si="0"/>
        <v>5157.0200000000004</v>
      </c>
      <c r="F22" s="25">
        <v>1718.94</v>
      </c>
      <c r="G22" s="23">
        <f t="shared" si="1"/>
        <v>1718.94</v>
      </c>
      <c r="H22" s="12">
        <f t="shared" si="2"/>
        <v>8299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45344</v>
      </c>
      <c r="C23" s="13" t="s">
        <v>8</v>
      </c>
      <c r="D23" s="23">
        <v>5878.03</v>
      </c>
      <c r="E23" s="23">
        <f t="shared" si="0"/>
        <v>4408.57</v>
      </c>
      <c r="F23" s="25">
        <v>1469.46</v>
      </c>
      <c r="G23" s="23">
        <f t="shared" si="1"/>
        <v>1469.46</v>
      </c>
      <c r="H23" s="12">
        <f t="shared" si="2"/>
        <v>8299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45345</v>
      </c>
      <c r="C24" s="13" t="s">
        <v>8</v>
      </c>
      <c r="D24" s="23">
        <v>5561.21</v>
      </c>
      <c r="E24" s="23">
        <f t="shared" si="0"/>
        <v>4170.95</v>
      </c>
      <c r="F24" s="25">
        <v>1390.26</v>
      </c>
      <c r="G24" s="23">
        <f t="shared" si="1"/>
        <v>1390.26</v>
      </c>
      <c r="H24" s="12">
        <f t="shared" si="2"/>
        <v>8299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45348</v>
      </c>
      <c r="C25" s="13" t="s">
        <v>8</v>
      </c>
      <c r="D25" s="23">
        <v>6319.6</v>
      </c>
      <c r="E25" s="23">
        <f t="shared" si="0"/>
        <v>4739.7400000000007</v>
      </c>
      <c r="F25" s="25">
        <v>1579.86</v>
      </c>
      <c r="G25" s="23">
        <f t="shared" si="1"/>
        <v>1579.86</v>
      </c>
      <c r="H25" s="12">
        <f t="shared" si="2"/>
        <v>8299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45349</v>
      </c>
      <c r="C26" s="13" t="s">
        <v>8</v>
      </c>
      <c r="D26" s="23">
        <v>13254.87</v>
      </c>
      <c r="E26" s="23">
        <f t="shared" si="0"/>
        <v>9941.3100000000013</v>
      </c>
      <c r="F26" s="25">
        <v>3313.56</v>
      </c>
      <c r="G26" s="23">
        <f t="shared" si="1"/>
        <v>3313.56</v>
      </c>
      <c r="H26" s="12">
        <f t="shared" si="2"/>
        <v>8299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45350</v>
      </c>
      <c r="C27" s="13" t="s">
        <v>8</v>
      </c>
      <c r="D27" s="23">
        <v>8751.2000000000007</v>
      </c>
      <c r="E27" s="23">
        <f t="shared" si="0"/>
        <v>6563.4900000000007</v>
      </c>
      <c r="F27" s="25">
        <v>2187.71</v>
      </c>
      <c r="G27" s="23">
        <f t="shared" si="1"/>
        <v>2187.71</v>
      </c>
      <c r="H27" s="12">
        <f t="shared" si="2"/>
        <v>8299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45351</v>
      </c>
      <c r="C28" s="13" t="s">
        <v>8</v>
      </c>
      <c r="D28" s="23">
        <v>31120.27</v>
      </c>
      <c r="E28" s="23">
        <f t="shared" si="0"/>
        <v>23340.57</v>
      </c>
      <c r="F28" s="25">
        <v>7779.7</v>
      </c>
      <c r="G28" s="23">
        <f t="shared" si="1"/>
        <v>7779.7</v>
      </c>
      <c r="H28" s="12">
        <f t="shared" si="2"/>
        <v>8299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 t="s">
        <v>12</v>
      </c>
      <c r="B29" s="22">
        <v>45338</v>
      </c>
      <c r="C29" s="27" t="s">
        <v>20</v>
      </c>
      <c r="D29" s="23">
        <v>0</v>
      </c>
      <c r="E29" s="23">
        <f t="shared" si="0"/>
        <v>0</v>
      </c>
      <c r="F29" s="25">
        <v>0</v>
      </c>
      <c r="G29" s="23">
        <f>6117.04+1209.97</f>
        <v>7327.01</v>
      </c>
      <c r="H29" s="12">
        <f>H28+F29-G29</f>
        <v>971.98999999999978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13</v>
      </c>
      <c r="B30" s="22">
        <v>45345</v>
      </c>
      <c r="C30" s="27" t="s">
        <v>19</v>
      </c>
      <c r="D30" s="28">
        <v>-90.98</v>
      </c>
      <c r="E30" s="28">
        <f t="shared" si="0"/>
        <v>-89.160000000000011</v>
      </c>
      <c r="F30" s="25">
        <v>-1.82</v>
      </c>
      <c r="G30" s="23">
        <v>0</v>
      </c>
      <c r="H30" s="12">
        <f>H29+F30-G30</f>
        <v>970.16999999999973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v>45291</v>
      </c>
      <c r="C31" s="27" t="s">
        <v>11</v>
      </c>
      <c r="D31" s="23"/>
      <c r="E31" s="23">
        <f t="shared" si="0"/>
        <v>0</v>
      </c>
      <c r="F31" s="25"/>
      <c r="G31" s="23">
        <v>0</v>
      </c>
      <c r="H31" s="12">
        <f t="shared" si="2"/>
        <v>970.16999999999973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v>45291</v>
      </c>
      <c r="C32" s="27" t="s">
        <v>11</v>
      </c>
      <c r="D32" s="23"/>
      <c r="E32" s="23">
        <f t="shared" si="0"/>
        <v>0</v>
      </c>
      <c r="F32" s="25"/>
      <c r="G32" s="23">
        <v>0</v>
      </c>
      <c r="H32" s="12">
        <f t="shared" si="2"/>
        <v>970.16999999999973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970.16999999999973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970.16999999999973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970.16999999999973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 t="e">
        <f>#REF!+(MOD(#REF!,7)=6)*2+1</f>
        <v>#REF!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>F36</f>
        <v>0</v>
      </c>
      <c r="H36" s="12">
        <f>H35+F36-G36</f>
        <v>970.16999999999973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777613.05999999982</v>
      </c>
      <c r="E37" s="20">
        <f>SUM(E10:E36)</f>
        <v>583192.84</v>
      </c>
      <c r="F37" s="20">
        <f>SUM(F10:F36)</f>
        <v>194420.22</v>
      </c>
      <c r="G37" s="23">
        <f>SUM(G10:G35)</f>
        <v>201749.05000000002</v>
      </c>
      <c r="H37" s="12">
        <f>+H36</f>
        <v>970.16999999999973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2" t="s">
        <v>10</v>
      </c>
      <c r="C38" s="53"/>
      <c r="D38" s="53"/>
      <c r="E38" s="53"/>
      <c r="F38" s="53"/>
      <c r="G38" s="53"/>
      <c r="H38" s="54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41" t="s">
        <v>21</v>
      </c>
      <c r="C39" s="42"/>
      <c r="D39" s="42"/>
      <c r="E39" s="42"/>
      <c r="F39" s="42"/>
      <c r="G39" s="42"/>
      <c r="H39" s="43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55" t="s">
        <v>22</v>
      </c>
      <c r="C40" s="42"/>
      <c r="D40" s="42"/>
      <c r="E40" s="42"/>
      <c r="F40" s="42"/>
      <c r="G40" s="42"/>
      <c r="H40" s="4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55" t="s">
        <v>23</v>
      </c>
      <c r="C41" s="42"/>
      <c r="D41" s="42"/>
      <c r="E41" s="42"/>
      <c r="F41" s="42"/>
      <c r="G41" s="42"/>
      <c r="H41" s="43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41"/>
      <c r="C42" s="42"/>
      <c r="D42" s="42"/>
      <c r="E42" s="42"/>
      <c r="F42" s="42"/>
      <c r="G42" s="42"/>
      <c r="H42" s="43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44"/>
      <c r="C43" s="45"/>
      <c r="D43" s="45"/>
      <c r="E43" s="45"/>
      <c r="F43" s="45"/>
      <c r="G43" s="45"/>
      <c r="H43" s="46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35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9D56D-6545-4216-8E79-B771F00A331F}">
  <dimension ref="A1:Z1004"/>
  <sheetViews>
    <sheetView topLeftCell="A7" zoomScale="110" zoomScaleNormal="110" workbookViewId="0">
      <selection activeCell="H31" sqref="H31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125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130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126</v>
      </c>
      <c r="C9" s="51"/>
      <c r="D9" s="51"/>
      <c r="E9" s="51"/>
      <c r="F9" s="51"/>
      <c r="G9" s="51"/>
      <c r="H9" s="12">
        <f>+'07-2025'!H34</f>
        <v>5260.165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45870</v>
      </c>
      <c r="C10" s="13" t="s">
        <v>8</v>
      </c>
      <c r="D10" s="23">
        <f>6748.82+1556</f>
        <v>8304.82</v>
      </c>
      <c r="E10" s="23">
        <f>D10-F10</f>
        <v>6228.6149999999998</v>
      </c>
      <c r="F10" s="23">
        <f>+D10*0.25</f>
        <v>2076.2049999999999</v>
      </c>
      <c r="G10" s="23">
        <f>1687.16+389</f>
        <v>2076.16</v>
      </c>
      <c r="H10" s="12">
        <f>H9+F10-G10</f>
        <v>5260.21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45873</v>
      </c>
      <c r="C11" s="13" t="s">
        <v>8</v>
      </c>
      <c r="D11" s="23">
        <f>7733.63+901.86</f>
        <v>8635.49</v>
      </c>
      <c r="E11" s="23">
        <f t="shared" ref="E11:E32" si="1">D11-F11</f>
        <v>6476.6175000000003</v>
      </c>
      <c r="F11" s="23">
        <f>+D11*0.25</f>
        <v>2158.8724999999999</v>
      </c>
      <c r="G11" s="23">
        <f>1933.37+225.46</f>
        <v>2158.83</v>
      </c>
      <c r="H11" s="12">
        <f t="shared" ref="H11:H31" si="2">H10+F11-G11</f>
        <v>5260.2525000000005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45874</v>
      </c>
      <c r="C12" s="13" t="s">
        <v>8</v>
      </c>
      <c r="D12" s="23">
        <f>6232.26+163</f>
        <v>6395.26</v>
      </c>
      <c r="E12" s="23">
        <f t="shared" si="1"/>
        <v>4796.4449999999997</v>
      </c>
      <c r="F12" s="23">
        <f t="shared" ref="F12:F33" si="3">+D12*0.25</f>
        <v>1598.8150000000001</v>
      </c>
      <c r="G12" s="23">
        <f>1558.05+40.75</f>
        <v>1598.8</v>
      </c>
      <c r="H12" s="12">
        <f t="shared" si="2"/>
        <v>5260.2675000000008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45875</v>
      </c>
      <c r="C13" s="13" t="s">
        <v>8</v>
      </c>
      <c r="D13" s="23">
        <f>6558.49+873.01</f>
        <v>7431.5</v>
      </c>
      <c r="E13" s="23">
        <f>D13-F13</f>
        <v>5573.625</v>
      </c>
      <c r="F13" s="23">
        <f>+D13*0.25</f>
        <v>1857.875</v>
      </c>
      <c r="G13" s="23">
        <f>1639.58+218.24</f>
        <v>1857.82</v>
      </c>
      <c r="H13" s="12">
        <f t="shared" si="2"/>
        <v>5260.3225000000011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45876</v>
      </c>
      <c r="C14" s="13" t="s">
        <v>8</v>
      </c>
      <c r="D14" s="23">
        <f>2437.64+652</f>
        <v>3089.64</v>
      </c>
      <c r="E14" s="23">
        <f t="shared" si="1"/>
        <v>2317.23</v>
      </c>
      <c r="F14" s="23">
        <f t="shared" si="3"/>
        <v>772.41</v>
      </c>
      <c r="G14" s="23">
        <f>609.38+163</f>
        <v>772.38</v>
      </c>
      <c r="H14" s="12">
        <f t="shared" si="2"/>
        <v>5260.3525000000009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45877</v>
      </c>
      <c r="C15" s="13" t="s">
        <v>8</v>
      </c>
      <c r="D15" s="23">
        <f>7210.78+1799</f>
        <v>9009.7799999999988</v>
      </c>
      <c r="E15" s="23">
        <f t="shared" si="1"/>
        <v>6757.3349999999991</v>
      </c>
      <c r="F15" s="23">
        <f t="shared" si="3"/>
        <v>2252.4449999999997</v>
      </c>
      <c r="G15" s="23">
        <f>1802.66+449.75</f>
        <v>2252.41</v>
      </c>
      <c r="H15" s="12">
        <f t="shared" si="2"/>
        <v>5260.3875000000007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45880</v>
      </c>
      <c r="C16" s="13" t="s">
        <v>8</v>
      </c>
      <c r="D16" s="23">
        <f>5044.5+5457</f>
        <v>10501.5</v>
      </c>
      <c r="E16" s="23">
        <f t="shared" si="1"/>
        <v>7876.125</v>
      </c>
      <c r="F16" s="23">
        <f t="shared" si="3"/>
        <v>2625.375</v>
      </c>
      <c r="G16" s="23">
        <f>1261.1+1364.25</f>
        <v>2625.35</v>
      </c>
      <c r="H16" s="12">
        <f t="shared" si="2"/>
        <v>5260.4125000000004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45881</v>
      </c>
      <c r="C17" s="13" t="s">
        <v>8</v>
      </c>
      <c r="D17" s="23">
        <f>12180.27+1378.9</f>
        <v>13559.17</v>
      </c>
      <c r="E17" s="23">
        <f t="shared" si="1"/>
        <v>10169.377500000001</v>
      </c>
      <c r="F17" s="23">
        <f t="shared" si="3"/>
        <v>3389.7925</v>
      </c>
      <c r="G17" s="23">
        <f>3044.99+344.71</f>
        <v>3389.7</v>
      </c>
      <c r="H17" s="12">
        <f t="shared" si="2"/>
        <v>5260.5050000000001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45882</v>
      </c>
      <c r="C18" s="13" t="s">
        <v>8</v>
      </c>
      <c r="D18" s="23">
        <f>3302.81+655</f>
        <v>3957.81</v>
      </c>
      <c r="E18" s="23">
        <f t="shared" si="1"/>
        <v>2968.3575000000001</v>
      </c>
      <c r="F18" s="23">
        <f t="shared" si="3"/>
        <v>989.45249999999999</v>
      </c>
      <c r="G18" s="23">
        <f>825.69+163.75</f>
        <v>989.44</v>
      </c>
      <c r="H18" s="12">
        <f t="shared" si="2"/>
        <v>5260.5174999999999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45883</v>
      </c>
      <c r="C19" s="13" t="s">
        <v>8</v>
      </c>
      <c r="D19" s="23">
        <f>2066.1+449</f>
        <v>2515.1</v>
      </c>
      <c r="E19" s="23">
        <f t="shared" si="1"/>
        <v>1886.3249999999998</v>
      </c>
      <c r="F19" s="23">
        <f t="shared" si="3"/>
        <v>628.77499999999998</v>
      </c>
      <c r="G19" s="23">
        <f>516.51+112.25</f>
        <v>628.76</v>
      </c>
      <c r="H19" s="12">
        <f t="shared" si="2"/>
        <v>5260.5324999999993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45884</v>
      </c>
      <c r="C20" s="13" t="s">
        <v>8</v>
      </c>
      <c r="D20" s="23">
        <f>8019.27+815.14</f>
        <v>8834.41</v>
      </c>
      <c r="E20" s="23">
        <f t="shared" si="1"/>
        <v>6625.8074999999999</v>
      </c>
      <c r="F20" s="23">
        <f t="shared" si="3"/>
        <v>2208.6025</v>
      </c>
      <c r="G20" s="23">
        <f>2004.75+203.78</f>
        <v>2208.5300000000002</v>
      </c>
      <c r="H20" s="12">
        <f t="shared" si="2"/>
        <v>5260.6049999999996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45887</v>
      </c>
      <c r="C21" s="13" t="s">
        <v>8</v>
      </c>
      <c r="D21" s="23">
        <f>4410.31+2339.69</f>
        <v>6750</v>
      </c>
      <c r="E21" s="23">
        <f t="shared" si="1"/>
        <v>5062.5</v>
      </c>
      <c r="F21" s="23">
        <f t="shared" si="3"/>
        <v>1687.5</v>
      </c>
      <c r="G21" s="23">
        <f>1102.55+584.92</f>
        <v>1687.4699999999998</v>
      </c>
      <c r="H21" s="12">
        <f>H20+F21-G21</f>
        <v>5260.6350000000002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45888</v>
      </c>
      <c r="C22" s="13" t="s">
        <v>8</v>
      </c>
      <c r="D22" s="23">
        <f>5596.98+1801</f>
        <v>7397.98</v>
      </c>
      <c r="E22" s="23">
        <f t="shared" si="1"/>
        <v>5548.4849999999997</v>
      </c>
      <c r="F22" s="23">
        <f t="shared" si="3"/>
        <v>1849.4949999999999</v>
      </c>
      <c r="G22" s="23">
        <f>1399.2+450.25</f>
        <v>1849.45</v>
      </c>
      <c r="H22" s="12">
        <f t="shared" si="2"/>
        <v>5260.68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</f>
        <v>45889</v>
      </c>
      <c r="C23" s="13" t="s">
        <v>8</v>
      </c>
      <c r="D23" s="23">
        <f>2742.15+1928.7</f>
        <v>4670.8500000000004</v>
      </c>
      <c r="E23" s="23">
        <f t="shared" si="1"/>
        <v>3503.1375000000003</v>
      </c>
      <c r="F23" s="23">
        <f t="shared" si="3"/>
        <v>1167.7125000000001</v>
      </c>
      <c r="G23" s="23">
        <f>685.52+482.17</f>
        <v>1167.69</v>
      </c>
      <c r="H23" s="12">
        <f t="shared" si="2"/>
        <v>5260.7024999999994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45890</v>
      </c>
      <c r="C24" s="13" t="s">
        <v>8</v>
      </c>
      <c r="D24" s="23">
        <f>5160.97+326</f>
        <v>5486.97</v>
      </c>
      <c r="E24" s="23">
        <f t="shared" si="1"/>
        <v>4115.2275</v>
      </c>
      <c r="F24" s="23">
        <f t="shared" si="3"/>
        <v>1371.7425000000001</v>
      </c>
      <c r="G24" s="23">
        <f>1290.21+81.5</f>
        <v>1371.71</v>
      </c>
      <c r="H24" s="12">
        <f>H23+F24-G24</f>
        <v>5260.7349999999997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45891</v>
      </c>
      <c r="C25" s="13" t="s">
        <v>8</v>
      </c>
      <c r="D25" s="23">
        <f>2094.88+2364</f>
        <v>4458.88</v>
      </c>
      <c r="E25" s="23">
        <f t="shared" si="1"/>
        <v>3344.16</v>
      </c>
      <c r="F25" s="23">
        <f t="shared" si="3"/>
        <v>1114.72</v>
      </c>
      <c r="G25" s="23">
        <f>523.71+591</f>
        <v>1114.71</v>
      </c>
      <c r="H25" s="12">
        <f>H24+F25-G25</f>
        <v>5260.7449999999999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45894</v>
      </c>
      <c r="C26" s="13" t="s">
        <v>8</v>
      </c>
      <c r="D26" s="23">
        <f>7613.89+489</f>
        <v>8102.89</v>
      </c>
      <c r="E26" s="23">
        <f t="shared" si="1"/>
        <v>6077.1675000000005</v>
      </c>
      <c r="F26" s="23">
        <f t="shared" si="3"/>
        <v>2025.7225000000001</v>
      </c>
      <c r="G26" s="23">
        <f>1903.46+122.25</f>
        <v>2025.71</v>
      </c>
      <c r="H26" s="12">
        <f t="shared" si="2"/>
        <v>5260.7574999999997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45895</v>
      </c>
      <c r="C27" s="13" t="s">
        <v>8</v>
      </c>
      <c r="D27" s="23">
        <f>8640.15+1473</f>
        <v>10113.15</v>
      </c>
      <c r="E27" s="23">
        <f t="shared" si="1"/>
        <v>7584.8624999999993</v>
      </c>
      <c r="F27" s="23">
        <f t="shared" si="3"/>
        <v>2528.2874999999999</v>
      </c>
      <c r="G27" s="23">
        <f>2159.99+368.25</f>
        <v>2528.2399999999998</v>
      </c>
      <c r="H27" s="12">
        <f t="shared" si="2"/>
        <v>5260.8050000000003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45896</v>
      </c>
      <c r="C28" s="13" t="s">
        <v>8</v>
      </c>
      <c r="D28" s="23">
        <f>4487.03+2088</f>
        <v>6575.03</v>
      </c>
      <c r="E28" s="23">
        <f t="shared" si="1"/>
        <v>4931.2725</v>
      </c>
      <c r="F28" s="23">
        <f t="shared" si="3"/>
        <v>1643.7574999999999</v>
      </c>
      <c r="G28" s="23">
        <f>1121.75+522</f>
        <v>1643.75</v>
      </c>
      <c r="H28" s="12">
        <f t="shared" si="2"/>
        <v>5260.8125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45897</v>
      </c>
      <c r="C29" s="13" t="s">
        <v>8</v>
      </c>
      <c r="D29" s="38">
        <f>5448.84+2870</f>
        <v>8318.84</v>
      </c>
      <c r="E29" s="23">
        <f t="shared" si="1"/>
        <v>6239.13</v>
      </c>
      <c r="F29" s="23">
        <f t="shared" si="3"/>
        <v>2079.71</v>
      </c>
      <c r="G29" s="23">
        <f>1362.2+717.5</f>
        <v>2079.6999999999998</v>
      </c>
      <c r="H29" s="12">
        <f t="shared" si="2"/>
        <v>5260.8225000000002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1"/>
      <c r="B30" s="22">
        <f t="shared" si="0"/>
        <v>45898</v>
      </c>
      <c r="C30" s="13" t="s">
        <v>8</v>
      </c>
      <c r="D30" s="38">
        <f>7097.31+941</f>
        <v>8038.31</v>
      </c>
      <c r="E30" s="23">
        <f t="shared" si="1"/>
        <v>6028.7325000000001</v>
      </c>
      <c r="F30" s="23">
        <f t="shared" si="3"/>
        <v>2009.5775000000001</v>
      </c>
      <c r="G30" s="23">
        <f>1774.28+235.25</f>
        <v>2009.53</v>
      </c>
      <c r="H30" s="12">
        <f t="shared" si="2"/>
        <v>5260.8700000000008</v>
      </c>
      <c r="I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22">
        <v>45900</v>
      </c>
      <c r="C31" s="13" t="s">
        <v>8</v>
      </c>
      <c r="D31" s="38">
        <v>11341.88</v>
      </c>
      <c r="E31" s="23">
        <f t="shared" si="1"/>
        <v>8506.41</v>
      </c>
      <c r="F31" s="23">
        <f t="shared" si="3"/>
        <v>2835.47</v>
      </c>
      <c r="G31" s="23">
        <v>0</v>
      </c>
      <c r="H31" s="12">
        <f t="shared" si="2"/>
        <v>8096.34</v>
      </c>
      <c r="I31" s="31"/>
      <c r="J31" s="40">
        <f>H30-H9</f>
        <v>0.70500000000083674</v>
      </c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hidden="1" customHeight="1" x14ac:dyDescent="0.25">
      <c r="A32" s="31"/>
      <c r="B32" s="22"/>
      <c r="C32" s="13" t="s">
        <v>8</v>
      </c>
      <c r="D32" s="38">
        <v>0</v>
      </c>
      <c r="E32" s="23">
        <f t="shared" si="1"/>
        <v>0</v>
      </c>
      <c r="F32" s="23">
        <f t="shared" si="3"/>
        <v>0</v>
      </c>
      <c r="G32" s="23">
        <v>0</v>
      </c>
      <c r="H32" s="12">
        <f>H31+F32-G32</f>
        <v>8096.34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hidden="1" customHeight="1" x14ac:dyDescent="0.25">
      <c r="B33" s="22"/>
      <c r="C33" s="13" t="s">
        <v>11</v>
      </c>
      <c r="D33" s="38">
        <v>0</v>
      </c>
      <c r="E33" s="23">
        <f>D33-F33</f>
        <v>0</v>
      </c>
      <c r="F33" s="23">
        <f t="shared" si="3"/>
        <v>0</v>
      </c>
      <c r="G33" s="23">
        <v>0</v>
      </c>
      <c r="H33" s="12">
        <f>H32+F33-G33</f>
        <v>8096.34</v>
      </c>
      <c r="I33" s="31"/>
      <c r="J33" s="40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163489.26</v>
      </c>
      <c r="E34" s="20">
        <f>SUM(E10:E33)</f>
        <v>122616.94499999999</v>
      </c>
      <c r="F34" s="20">
        <f>SUM(F10:F33)</f>
        <v>40872.315000000002</v>
      </c>
      <c r="G34" s="14">
        <f>SUM(G10:G33)</f>
        <v>38036.139999999992</v>
      </c>
      <c r="H34" s="12">
        <f>+H33</f>
        <v>8096.34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60" t="s">
        <v>10</v>
      </c>
      <c r="C35" s="61"/>
      <c r="D35" s="61"/>
      <c r="E35" s="61"/>
      <c r="F35" s="61"/>
      <c r="G35" s="61"/>
      <c r="H35" s="62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41" t="s">
        <v>127</v>
      </c>
      <c r="C36" s="42"/>
      <c r="D36" s="42"/>
      <c r="E36" s="42"/>
      <c r="F36" s="42"/>
      <c r="G36" s="42"/>
      <c r="H36" s="43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41" t="s">
        <v>128</v>
      </c>
      <c r="C37" s="65"/>
      <c r="D37" s="65"/>
      <c r="E37" s="65"/>
      <c r="F37" s="65"/>
      <c r="G37" s="65"/>
      <c r="H37" s="66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55" t="s">
        <v>129</v>
      </c>
      <c r="C38" s="63"/>
      <c r="D38" s="63"/>
      <c r="E38" s="63"/>
      <c r="F38" s="63"/>
      <c r="G38" s="63"/>
      <c r="H38" s="64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55"/>
      <c r="C39" s="63"/>
      <c r="D39" s="63"/>
      <c r="E39" s="63"/>
      <c r="F39" s="63"/>
      <c r="G39" s="63"/>
      <c r="H39" s="64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44"/>
      <c r="C40" s="45"/>
      <c r="D40" s="45"/>
      <c r="E40" s="45"/>
      <c r="F40" s="45"/>
      <c r="G40" s="45"/>
      <c r="H40" s="46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3BE79-B111-4F00-B43B-93BB820E1641}">
  <dimension ref="A1:XFD1005"/>
  <sheetViews>
    <sheetView tabSelected="1" zoomScale="110" zoomScaleNormal="110" workbookViewId="0">
      <selection activeCell="I93" sqref="I9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131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132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133</v>
      </c>
      <c r="C9" s="51"/>
      <c r="D9" s="51"/>
      <c r="E9" s="51"/>
      <c r="F9" s="51"/>
      <c r="G9" s="51"/>
      <c r="H9" s="12">
        <v>2836.18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45901</v>
      </c>
      <c r="C10" s="13" t="s">
        <v>8</v>
      </c>
      <c r="D10" s="23">
        <f>16145.37+1915.1</f>
        <v>18060.47</v>
      </c>
      <c r="E10" s="23">
        <f>D10-F10</f>
        <v>13545.352500000001</v>
      </c>
      <c r="F10" s="23">
        <f>+D10*0.25</f>
        <v>4515.1175000000003</v>
      </c>
      <c r="G10" s="23">
        <f>4036.22+478.76</f>
        <v>4514.9799999999996</v>
      </c>
      <c r="H10" s="12">
        <f>H9+F10-G10</f>
        <v>2836.317500000001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45902</v>
      </c>
      <c r="C11" s="13" t="s">
        <v>8</v>
      </c>
      <c r="D11" s="23">
        <f>33593.84+163</f>
        <v>33756.839999999997</v>
      </c>
      <c r="E11" s="23">
        <f t="shared" ref="E11:E33" si="1">D11-F11</f>
        <v>25317.629999999997</v>
      </c>
      <c r="F11" s="23">
        <f>+D11*0.25</f>
        <v>8439.2099999999991</v>
      </c>
      <c r="G11" s="23">
        <f>8398.16+40.75</f>
        <v>8438.91</v>
      </c>
      <c r="H11" s="12">
        <f t="shared" ref="H11:H32" si="2">H10+F11-G11</f>
        <v>2836.6175000000003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45903</v>
      </c>
      <c r="C12" s="13" t="s">
        <v>8</v>
      </c>
      <c r="D12" s="23">
        <f>3825.18+1267</f>
        <v>5092.18</v>
      </c>
      <c r="E12" s="23">
        <f t="shared" si="1"/>
        <v>3819.1350000000002</v>
      </c>
      <c r="F12" s="23">
        <f t="shared" ref="F12:F33" si="3">+D12*0.25</f>
        <v>1273.0450000000001</v>
      </c>
      <c r="G12" s="23">
        <f>956.25+316.75</f>
        <v>1273</v>
      </c>
      <c r="H12" s="12">
        <f t="shared" si="2"/>
        <v>2836.6625000000004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45904</v>
      </c>
      <c r="C13" s="13" t="s">
        <v>8</v>
      </c>
      <c r="D13" s="23">
        <f>6057.69+286</f>
        <v>6343.69</v>
      </c>
      <c r="E13" s="23">
        <f>D13-F13</f>
        <v>4757.7674999999999</v>
      </c>
      <c r="F13" s="23">
        <f>+D13*0.25</f>
        <v>1585.9224999999999</v>
      </c>
      <c r="G13" s="23">
        <f>1514.4+71.5</f>
        <v>1585.9</v>
      </c>
      <c r="H13" s="12">
        <f t="shared" si="2"/>
        <v>2836.6849999999999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45905</v>
      </c>
      <c r="C14" s="13" t="s">
        <v>8</v>
      </c>
      <c r="D14" s="23">
        <f>10306.58+1187</f>
        <v>11493.58</v>
      </c>
      <c r="E14" s="23">
        <f t="shared" si="1"/>
        <v>8620.1849999999995</v>
      </c>
      <c r="F14" s="23">
        <f t="shared" si="3"/>
        <v>2873.395</v>
      </c>
      <c r="G14" s="23">
        <f>2576.58+296.75</f>
        <v>2873.33</v>
      </c>
      <c r="H14" s="12">
        <f t="shared" si="2"/>
        <v>2836.75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45908</v>
      </c>
      <c r="C15" s="13" t="s">
        <v>8</v>
      </c>
      <c r="D15" s="23">
        <f>22149.92+489</f>
        <v>22638.92</v>
      </c>
      <c r="E15" s="23">
        <f t="shared" si="1"/>
        <v>16979.189999999999</v>
      </c>
      <c r="F15" s="23">
        <f t="shared" si="3"/>
        <v>5659.73</v>
      </c>
      <c r="G15" s="23">
        <f>5537.42+122.25</f>
        <v>5659.67</v>
      </c>
      <c r="H15" s="12">
        <f t="shared" si="2"/>
        <v>2836.8099999999995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45909</v>
      </c>
      <c r="C16" s="13" t="s">
        <v>8</v>
      </c>
      <c r="D16" s="23">
        <f>3555.75+1702.66</f>
        <v>5258.41</v>
      </c>
      <c r="E16" s="23">
        <f t="shared" si="1"/>
        <v>3943.8074999999999</v>
      </c>
      <c r="F16" s="23">
        <f t="shared" si="3"/>
        <v>1314.6025</v>
      </c>
      <c r="G16" s="23">
        <f>888.89+425.66</f>
        <v>1314.55</v>
      </c>
      <c r="H16" s="12">
        <f t="shared" si="2"/>
        <v>2836.8624999999993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45910</v>
      </c>
      <c r="C17" s="13" t="s">
        <v>8</v>
      </c>
      <c r="D17" s="23">
        <f>4355.35+2703</f>
        <v>7058.35</v>
      </c>
      <c r="E17" s="23">
        <f t="shared" si="1"/>
        <v>5293.7625000000007</v>
      </c>
      <c r="F17" s="23">
        <f t="shared" si="3"/>
        <v>1764.5875000000001</v>
      </c>
      <c r="G17" s="23">
        <f>1088.8+675.75</f>
        <v>1764.55</v>
      </c>
      <c r="H17" s="12">
        <f t="shared" si="2"/>
        <v>2836.8999999999987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45911</v>
      </c>
      <c r="C18" s="13" t="s">
        <v>8</v>
      </c>
      <c r="D18" s="23">
        <f>5799.89+453.19</f>
        <v>6253.08</v>
      </c>
      <c r="E18" s="23">
        <f t="shared" si="1"/>
        <v>4689.8099999999995</v>
      </c>
      <c r="F18" s="23">
        <f t="shared" si="3"/>
        <v>1563.27</v>
      </c>
      <c r="G18" s="23">
        <f>1449.89+113.29</f>
        <v>1563.18</v>
      </c>
      <c r="H18" s="12">
        <f t="shared" si="2"/>
        <v>2836.989999999998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45912</v>
      </c>
      <c r="C19" s="13" t="s">
        <v>8</v>
      </c>
      <c r="D19" s="23">
        <f>1062.61+1369.59</f>
        <v>2432.1999999999998</v>
      </c>
      <c r="E19" s="23">
        <f t="shared" si="1"/>
        <v>1824.1499999999999</v>
      </c>
      <c r="F19" s="23">
        <f t="shared" si="3"/>
        <v>608.04999999999995</v>
      </c>
      <c r="G19" s="23">
        <f>265.64+342.39</f>
        <v>608.03</v>
      </c>
      <c r="H19" s="12">
        <f t="shared" si="2"/>
        <v>2837.0099999999984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45915</v>
      </c>
      <c r="C20" s="13" t="s">
        <v>8</v>
      </c>
      <c r="D20" s="23">
        <f>3061.5+163</f>
        <v>3224.5</v>
      </c>
      <c r="E20" s="23">
        <f t="shared" si="1"/>
        <v>2418.375</v>
      </c>
      <c r="F20" s="23">
        <f t="shared" si="3"/>
        <v>806.125</v>
      </c>
      <c r="G20" s="23">
        <f>765.35+40.75</f>
        <v>806.1</v>
      </c>
      <c r="H20" s="12">
        <f t="shared" si="2"/>
        <v>2837.0349999999985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ht="15.75" customHeight="1" x14ac:dyDescent="0.25">
      <c r="A21" s="2"/>
      <c r="B21" s="22">
        <f>B20+(MOD(B20,7)=6)*2+1</f>
        <v>45916</v>
      </c>
      <c r="C21" s="13" t="s">
        <v>8</v>
      </c>
      <c r="D21" s="23">
        <f>8133.7+612</f>
        <v>8745.7000000000007</v>
      </c>
      <c r="E21" s="23">
        <f t="shared" si="1"/>
        <v>6559.2750000000005</v>
      </c>
      <c r="F21" s="23">
        <f t="shared" si="3"/>
        <v>2186.4250000000002</v>
      </c>
      <c r="G21" s="23">
        <f>2033.37+153</f>
        <v>2186.37</v>
      </c>
      <c r="H21" s="12">
        <f>H20+F21-G21</f>
        <v>2837.0899999999992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x14ac:dyDescent="0.25">
      <c r="A22" s="2"/>
      <c r="B22" s="22">
        <f t="shared" si="0"/>
        <v>45917</v>
      </c>
      <c r="C22" s="13" t="s">
        <v>8</v>
      </c>
      <c r="D22" s="23">
        <f>7758.95+652</f>
        <v>8410.9500000000007</v>
      </c>
      <c r="E22" s="23">
        <f t="shared" si="1"/>
        <v>6308.2125000000005</v>
      </c>
      <c r="F22" s="23">
        <f t="shared" si="3"/>
        <v>2102.7375000000002</v>
      </c>
      <c r="G22" s="23">
        <f>1939.71+163</f>
        <v>2102.71</v>
      </c>
      <c r="H22" s="12">
        <f t="shared" si="2"/>
        <v>2837.1174999999994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>B22+(MOD(B22,7)=6)*2+1</f>
        <v>45918</v>
      </c>
      <c r="C23" s="13" t="s">
        <v>8</v>
      </c>
      <c r="D23" s="23">
        <f>5006.79+326</f>
        <v>5332.79</v>
      </c>
      <c r="E23" s="23">
        <f t="shared" si="1"/>
        <v>3999.5924999999997</v>
      </c>
      <c r="F23" s="23">
        <f t="shared" si="3"/>
        <v>1333.1975</v>
      </c>
      <c r="G23" s="23">
        <f>1251.68+81.5</f>
        <v>1333.18</v>
      </c>
      <c r="H23" s="12">
        <f t="shared" si="2"/>
        <v>2837.1349999999993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ht="15.75" customHeight="1" x14ac:dyDescent="0.25">
      <c r="A24" s="2"/>
      <c r="B24" s="22">
        <f>B23+(MOD(B23,7)=6)*2+1</f>
        <v>45919</v>
      </c>
      <c r="C24" s="13" t="s">
        <v>8</v>
      </c>
      <c r="D24" s="23">
        <f>4984.45+326</f>
        <v>5310.45</v>
      </c>
      <c r="E24" s="23">
        <f t="shared" si="1"/>
        <v>3982.8374999999996</v>
      </c>
      <c r="F24" s="23">
        <f t="shared" si="3"/>
        <v>1327.6125</v>
      </c>
      <c r="G24" s="23">
        <f>1246.1+81.5</f>
        <v>1327.6</v>
      </c>
      <c r="H24" s="12">
        <f>H23+F24-G24</f>
        <v>2837.1474999999996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45922</v>
      </c>
      <c r="C25" s="13" t="s">
        <v>8</v>
      </c>
      <c r="D25" s="23">
        <f>2793.4+906</f>
        <v>3699.4</v>
      </c>
      <c r="E25" s="23">
        <f t="shared" si="1"/>
        <v>2774.55</v>
      </c>
      <c r="F25" s="23">
        <f t="shared" si="3"/>
        <v>924.85</v>
      </c>
      <c r="G25" s="23">
        <f>698.34+226.5</f>
        <v>924.84</v>
      </c>
      <c r="H25" s="12">
        <f>H24+F25-G25</f>
        <v>2837.1574999999993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x14ac:dyDescent="0.25">
      <c r="A26" s="2"/>
      <c r="B26" s="22">
        <f t="shared" si="0"/>
        <v>45923</v>
      </c>
      <c r="C26" s="13" t="s">
        <v>8</v>
      </c>
      <c r="D26" s="23">
        <f>9440.19</f>
        <v>9440.19</v>
      </c>
      <c r="E26" s="23">
        <f t="shared" si="1"/>
        <v>7080.1424999999999</v>
      </c>
      <c r="F26" s="23">
        <f t="shared" si="3"/>
        <v>2360.0475000000001</v>
      </c>
      <c r="G26" s="23">
        <f>2359.99</f>
        <v>2359.9899999999998</v>
      </c>
      <c r="H26" s="12">
        <f t="shared" si="2"/>
        <v>2837.2150000000001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45924</v>
      </c>
      <c r="C27" s="13" t="s">
        <v>8</v>
      </c>
      <c r="D27" s="23">
        <f>8179.06+326</f>
        <v>8505.0600000000013</v>
      </c>
      <c r="E27" s="23">
        <f>D27-F27</f>
        <v>6378.795000000001</v>
      </c>
      <c r="F27" s="23">
        <f t="shared" si="3"/>
        <v>2126.2650000000003</v>
      </c>
      <c r="G27" s="23">
        <f>2044.75+81.5</f>
        <v>2126.25</v>
      </c>
      <c r="H27" s="12">
        <f t="shared" si="2"/>
        <v>2837.2300000000005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x14ac:dyDescent="0.25">
      <c r="A28" s="32" t="s">
        <v>12</v>
      </c>
      <c r="B28" s="68">
        <v>45924</v>
      </c>
      <c r="C28" s="69" t="s">
        <v>11</v>
      </c>
      <c r="D28" s="70">
        <v>11341.88</v>
      </c>
      <c r="E28" s="71">
        <f>D28-F28</f>
        <v>8506.41</v>
      </c>
      <c r="F28" s="71">
        <f t="shared" si="3"/>
        <v>2835.47</v>
      </c>
      <c r="G28" s="71">
        <v>2836.18</v>
      </c>
      <c r="H28" s="67">
        <f t="shared" si="2"/>
        <v>2836.5200000000009</v>
      </c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</row>
    <row r="29" spans="1:26 16384:16384" ht="15.75" customHeight="1" x14ac:dyDescent="0.25">
      <c r="A29" s="2"/>
      <c r="B29" s="22">
        <f>B27+(MOD(B27,7)=6)*2+1</f>
        <v>45925</v>
      </c>
      <c r="C29" s="13" t="s">
        <v>8</v>
      </c>
      <c r="D29" s="23">
        <f>1187.76+615</f>
        <v>1802.76</v>
      </c>
      <c r="E29" s="23">
        <f t="shared" si="1"/>
        <v>1352.07</v>
      </c>
      <c r="F29" s="23">
        <f t="shared" si="3"/>
        <v>450.69</v>
      </c>
      <c r="G29" s="23">
        <f>296.93+153.75</f>
        <v>450.68</v>
      </c>
      <c r="H29" s="12">
        <f t="shared" si="2"/>
        <v>2836.5300000000011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XFD29">
        <f>SUM(A29:XFC29)</f>
        <v>52817.73</v>
      </c>
    </row>
    <row r="30" spans="1:26 16384:16384" ht="15.75" customHeight="1" x14ac:dyDescent="0.25">
      <c r="A30" s="31"/>
      <c r="B30" s="22">
        <f t="shared" si="0"/>
        <v>45926</v>
      </c>
      <c r="C30" s="13" t="s">
        <v>8</v>
      </c>
      <c r="D30" s="38">
        <f>4260.07+492</f>
        <v>4752.07</v>
      </c>
      <c r="E30" s="23">
        <f t="shared" si="1"/>
        <v>3564.0524999999998</v>
      </c>
      <c r="F30" s="23">
        <f t="shared" si="3"/>
        <v>1188.0174999999999</v>
      </c>
      <c r="G30" s="23">
        <f>1064.99+123</f>
        <v>1187.99</v>
      </c>
      <c r="H30" s="12">
        <f t="shared" si="2"/>
        <v>2836.5575000000008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ht="15.75" customHeight="1" x14ac:dyDescent="0.25">
      <c r="A31" s="31"/>
      <c r="B31" s="22">
        <f t="shared" si="0"/>
        <v>45929</v>
      </c>
      <c r="C31" s="13" t="s">
        <v>8</v>
      </c>
      <c r="D31" s="38">
        <f>3384.03+978</f>
        <v>4362.0300000000007</v>
      </c>
      <c r="E31" s="23">
        <f t="shared" si="1"/>
        <v>3271.5225000000005</v>
      </c>
      <c r="F31" s="23">
        <f t="shared" si="3"/>
        <v>1090.5075000000002</v>
      </c>
      <c r="G31" s="23">
        <f>845.97+244.5</f>
        <v>1090.47</v>
      </c>
      <c r="H31" s="12">
        <f t="shared" si="2"/>
        <v>2836.5950000000012</v>
      </c>
      <c r="I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ht="15.75" customHeight="1" x14ac:dyDescent="0.25">
      <c r="B32" s="22">
        <f t="shared" si="0"/>
        <v>45930</v>
      </c>
      <c r="C32" s="13" t="s">
        <v>8</v>
      </c>
      <c r="D32" s="38">
        <f>10218.75+1442.77</f>
        <v>11661.52</v>
      </c>
      <c r="E32" s="23">
        <f t="shared" si="1"/>
        <v>8746.14</v>
      </c>
      <c r="F32" s="23">
        <f t="shared" si="3"/>
        <v>2915.38</v>
      </c>
      <c r="G32" s="23">
        <f>2554.58+360.68</f>
        <v>2915.2599999999998</v>
      </c>
      <c r="H32" s="12">
        <f t="shared" si="2"/>
        <v>2836.7150000000015</v>
      </c>
      <c r="I32" s="40"/>
      <c r="J32" s="40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customFormat="1" x14ac:dyDescent="0.25">
      <c r="A33" s="32" t="s">
        <v>13</v>
      </c>
      <c r="B33" s="22">
        <v>45930</v>
      </c>
      <c r="C33" s="13" t="s">
        <v>8</v>
      </c>
      <c r="D33" s="38">
        <v>13052.66</v>
      </c>
      <c r="E33" s="23">
        <f t="shared" si="1"/>
        <v>9789.494999999999</v>
      </c>
      <c r="F33" s="23">
        <f t="shared" si="3"/>
        <v>3263.165</v>
      </c>
      <c r="G33" s="23">
        <v>0</v>
      </c>
      <c r="H33" s="12">
        <f>F33+H32-H9</f>
        <v>3263.7000000000012</v>
      </c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customFormat="1" ht="15.75" customHeight="1" x14ac:dyDescent="0.25">
      <c r="A34" s="2"/>
      <c r="B34" s="18" t="s">
        <v>9</v>
      </c>
      <c r="C34" s="19"/>
      <c r="D34" s="20">
        <f>SUM(D10:D33)</f>
        <v>218029.68000000002</v>
      </c>
      <c r="E34" s="20">
        <f>SUM(E10:E33)</f>
        <v>163522.25999999995</v>
      </c>
      <c r="F34" s="20">
        <f>SUM(F10:F33)</f>
        <v>54507.420000000006</v>
      </c>
      <c r="G34" s="14">
        <f>SUM(G10:G33)</f>
        <v>51243.719999999994</v>
      </c>
      <c r="H34" s="12">
        <f>H33</f>
        <v>3263.7000000000012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customFormat="1" ht="15.75" customHeight="1" x14ac:dyDescent="0.25">
      <c r="A35" s="29"/>
      <c r="B35" s="60" t="s">
        <v>10</v>
      </c>
      <c r="C35" s="61"/>
      <c r="D35" s="61"/>
      <c r="E35" s="61"/>
      <c r="F35" s="61"/>
      <c r="G35" s="61"/>
      <c r="H35" s="62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customFormat="1" ht="15.75" customHeight="1" x14ac:dyDescent="0.25">
      <c r="A36" s="29"/>
      <c r="B36" s="41" t="s">
        <v>135</v>
      </c>
      <c r="C36" s="42"/>
      <c r="D36" s="42"/>
      <c r="E36" s="42"/>
      <c r="F36" s="42"/>
      <c r="G36" s="42"/>
      <c r="H36" s="43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customFormat="1" ht="15.75" customHeight="1" x14ac:dyDescent="0.25">
      <c r="A37" s="31"/>
      <c r="B37" s="41" t="s">
        <v>134</v>
      </c>
      <c r="C37" s="65"/>
      <c r="D37" s="65"/>
      <c r="E37" s="65"/>
      <c r="F37" s="65"/>
      <c r="G37" s="65"/>
      <c r="H37" s="66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customFormat="1" ht="15.75" customHeight="1" x14ac:dyDescent="0.25">
      <c r="A38" s="31"/>
      <c r="B38" s="55" t="s">
        <v>136</v>
      </c>
      <c r="C38" s="63"/>
      <c r="D38" s="63"/>
      <c r="E38" s="63"/>
      <c r="F38" s="63"/>
      <c r="G38" s="63"/>
      <c r="H38" s="64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customFormat="1" ht="15.75" customHeight="1" x14ac:dyDescent="0.25">
      <c r="A39" s="31"/>
      <c r="B39" s="55"/>
      <c r="C39" s="63"/>
      <c r="D39" s="63"/>
      <c r="E39" s="63"/>
      <c r="F39" s="63"/>
      <c r="G39" s="63"/>
      <c r="H39" s="64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customFormat="1" ht="15.75" thickBot="1" x14ac:dyDescent="0.3">
      <c r="A40" s="29"/>
      <c r="B40" s="44"/>
      <c r="C40" s="45"/>
      <c r="D40" s="45"/>
      <c r="E40" s="45"/>
      <c r="F40" s="45"/>
      <c r="G40" s="45"/>
      <c r="H40" s="46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customFormat="1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customFormat="1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customFormat="1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customFormat="1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customFormat="1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customFormat="1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customFormat="1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customFormat="1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customFormat="1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customFormat="1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customFormat="1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customFormat="1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customFormat="1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customFormat="1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customFormat="1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customFormat="1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customFormat="1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customFormat="1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customFormat="1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customFormat="1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customFormat="1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customFormat="1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customFormat="1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customFormat="1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customFormat="1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customFormat="1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customFormat="1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customFormat="1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customFormat="1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customFormat="1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customFormat="1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customFormat="1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customFormat="1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customFormat="1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customFormat="1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customFormat="1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customFormat="1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customFormat="1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customFormat="1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customFormat="1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customFormat="1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customFormat="1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customFormat="1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customFormat="1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customFormat="1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customFormat="1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customFormat="1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customFormat="1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customFormat="1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customFormat="1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customFormat="1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customFormat="1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customFormat="1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customFormat="1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customFormat="1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customFormat="1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customFormat="1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customFormat="1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customFormat="1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customFormat="1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customFormat="1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customFormat="1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customFormat="1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customFormat="1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customFormat="1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customFormat="1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customFormat="1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customFormat="1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customFormat="1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customFormat="1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customFormat="1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customFormat="1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customFormat="1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customFormat="1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customFormat="1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customFormat="1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customFormat="1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customFormat="1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customFormat="1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customFormat="1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customFormat="1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customFormat="1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customFormat="1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customFormat="1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customFormat="1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customFormat="1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customFormat="1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customFormat="1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customFormat="1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customFormat="1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customFormat="1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customFormat="1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customFormat="1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customFormat="1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customFormat="1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customFormat="1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customFormat="1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customFormat="1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customFormat="1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customFormat="1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customFormat="1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customFormat="1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customFormat="1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customFormat="1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customFormat="1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customFormat="1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customFormat="1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customFormat="1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customFormat="1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customFormat="1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customFormat="1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customFormat="1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customFormat="1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customFormat="1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customFormat="1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customFormat="1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customFormat="1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customFormat="1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customFormat="1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customFormat="1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customFormat="1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customFormat="1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customFormat="1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customFormat="1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customFormat="1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customFormat="1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customFormat="1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customFormat="1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customFormat="1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customFormat="1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customFormat="1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customFormat="1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customFormat="1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customFormat="1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customFormat="1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customFormat="1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customFormat="1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customFormat="1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customFormat="1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customFormat="1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customFormat="1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customFormat="1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customFormat="1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customFormat="1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customFormat="1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customFormat="1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customFormat="1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customFormat="1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customFormat="1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customFormat="1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customFormat="1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customFormat="1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customFormat="1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customFormat="1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customFormat="1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customFormat="1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customFormat="1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customFormat="1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customFormat="1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customFormat="1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customFormat="1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customFormat="1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customFormat="1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customFormat="1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customFormat="1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customFormat="1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customFormat="1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customFormat="1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customFormat="1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customFormat="1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customFormat="1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customFormat="1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customFormat="1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customFormat="1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customFormat="1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customFormat="1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customFormat="1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customFormat="1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customFormat="1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customFormat="1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customFormat="1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customFormat="1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customFormat="1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customFormat="1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customFormat="1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customFormat="1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customFormat="1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customFormat="1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customFormat="1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customFormat="1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customFormat="1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customFormat="1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customFormat="1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customFormat="1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customFormat="1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customFormat="1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customFormat="1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customFormat="1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customFormat="1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customFormat="1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customFormat="1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customFormat="1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customFormat="1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customFormat="1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customFormat="1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customFormat="1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customFormat="1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customFormat="1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customFormat="1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customFormat="1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customFormat="1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customFormat="1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customFormat="1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customFormat="1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customFormat="1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customFormat="1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customFormat="1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customFormat="1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customFormat="1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customFormat="1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customFormat="1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customFormat="1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customFormat="1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customFormat="1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customFormat="1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customFormat="1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customFormat="1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customFormat="1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customFormat="1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customFormat="1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customFormat="1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customFormat="1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customFormat="1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customFormat="1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customFormat="1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customFormat="1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customFormat="1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customFormat="1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customFormat="1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customFormat="1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customFormat="1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customFormat="1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customFormat="1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customFormat="1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customFormat="1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customFormat="1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customFormat="1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customFormat="1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customFormat="1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customFormat="1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customFormat="1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customFormat="1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customFormat="1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customFormat="1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customFormat="1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customFormat="1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customFormat="1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customFormat="1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customFormat="1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customFormat="1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customFormat="1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customFormat="1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customFormat="1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customFormat="1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customFormat="1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customFormat="1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customFormat="1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customFormat="1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customFormat="1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customFormat="1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customFormat="1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customFormat="1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customFormat="1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customFormat="1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customFormat="1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customFormat="1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customFormat="1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customFormat="1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customFormat="1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customFormat="1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customFormat="1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customFormat="1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customFormat="1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customFormat="1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customFormat="1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customFormat="1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customFormat="1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customFormat="1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customFormat="1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customFormat="1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customFormat="1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customFormat="1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customFormat="1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customFormat="1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customFormat="1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customFormat="1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customFormat="1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customFormat="1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customFormat="1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customFormat="1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customFormat="1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customFormat="1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customFormat="1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customFormat="1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customFormat="1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customFormat="1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customFormat="1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customFormat="1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customFormat="1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customFormat="1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customFormat="1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customFormat="1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customFormat="1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customFormat="1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customFormat="1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customFormat="1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customFormat="1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customFormat="1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customFormat="1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customFormat="1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customFormat="1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customFormat="1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customFormat="1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customFormat="1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customFormat="1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customFormat="1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customFormat="1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customFormat="1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customFormat="1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customFormat="1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customFormat="1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customFormat="1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customFormat="1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customFormat="1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customFormat="1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customFormat="1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customFormat="1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customFormat="1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customFormat="1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customFormat="1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customFormat="1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customFormat="1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customFormat="1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customFormat="1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customFormat="1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customFormat="1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customFormat="1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customFormat="1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customFormat="1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customFormat="1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customFormat="1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customFormat="1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customFormat="1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customFormat="1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customFormat="1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customFormat="1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customFormat="1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customFormat="1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customFormat="1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customFormat="1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customFormat="1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customFormat="1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customFormat="1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customFormat="1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customFormat="1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customFormat="1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customFormat="1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customFormat="1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customFormat="1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customFormat="1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customFormat="1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customFormat="1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customFormat="1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customFormat="1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customFormat="1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customFormat="1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customFormat="1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customFormat="1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customFormat="1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customFormat="1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customFormat="1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customFormat="1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customFormat="1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customFormat="1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customFormat="1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customFormat="1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customFormat="1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customFormat="1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customFormat="1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customFormat="1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customFormat="1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customFormat="1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customFormat="1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customFormat="1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customFormat="1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customFormat="1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customFormat="1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customFormat="1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customFormat="1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customFormat="1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customFormat="1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customFormat="1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customFormat="1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customFormat="1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customFormat="1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customFormat="1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customFormat="1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customFormat="1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customFormat="1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customFormat="1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customFormat="1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customFormat="1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customFormat="1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customFormat="1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customFormat="1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customFormat="1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customFormat="1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customFormat="1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customFormat="1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customFormat="1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customFormat="1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customFormat="1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customFormat="1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customFormat="1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customFormat="1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customFormat="1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customFormat="1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customFormat="1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customFormat="1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customFormat="1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customFormat="1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customFormat="1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customFormat="1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customFormat="1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customFormat="1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customFormat="1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customFormat="1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customFormat="1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customFormat="1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customFormat="1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customFormat="1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customFormat="1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customFormat="1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customFormat="1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customFormat="1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customFormat="1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customFormat="1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customFormat="1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customFormat="1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customFormat="1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customFormat="1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customFormat="1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customFormat="1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customFormat="1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customFormat="1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customFormat="1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customFormat="1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customFormat="1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customFormat="1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customFormat="1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customFormat="1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customFormat="1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customFormat="1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customFormat="1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customFormat="1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customFormat="1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customFormat="1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customFormat="1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customFormat="1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customFormat="1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customFormat="1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customFormat="1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customFormat="1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customFormat="1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customFormat="1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customFormat="1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customFormat="1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customFormat="1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customFormat="1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customFormat="1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customFormat="1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customFormat="1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customFormat="1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customFormat="1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customFormat="1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customFormat="1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customFormat="1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customFormat="1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customFormat="1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customFormat="1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customFormat="1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customFormat="1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customFormat="1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customFormat="1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customFormat="1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customFormat="1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customFormat="1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customFormat="1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customFormat="1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customFormat="1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customFormat="1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customFormat="1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customFormat="1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customFormat="1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customFormat="1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customFormat="1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customFormat="1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customFormat="1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customFormat="1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customFormat="1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customFormat="1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customFormat="1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customFormat="1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customFormat="1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customFormat="1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customFormat="1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customFormat="1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customFormat="1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customFormat="1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customFormat="1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customFormat="1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customFormat="1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customFormat="1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customFormat="1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customFormat="1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customFormat="1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customFormat="1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customFormat="1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customFormat="1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customFormat="1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customFormat="1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customFormat="1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customFormat="1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customFormat="1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customFormat="1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customFormat="1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customFormat="1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customFormat="1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customFormat="1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customFormat="1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customFormat="1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customFormat="1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customFormat="1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customFormat="1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customFormat="1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customFormat="1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customFormat="1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customFormat="1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customFormat="1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customFormat="1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customFormat="1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customFormat="1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customFormat="1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customFormat="1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customFormat="1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customFormat="1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customFormat="1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customFormat="1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customFormat="1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customFormat="1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customFormat="1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customFormat="1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customFormat="1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customFormat="1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customFormat="1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customFormat="1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customFormat="1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customFormat="1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customFormat="1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customFormat="1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customFormat="1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customFormat="1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customFormat="1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customFormat="1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customFormat="1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customFormat="1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customFormat="1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customFormat="1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customFormat="1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customFormat="1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customFormat="1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customFormat="1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customFormat="1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customFormat="1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customFormat="1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customFormat="1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customFormat="1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customFormat="1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customFormat="1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customFormat="1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customFormat="1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customFormat="1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customFormat="1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customFormat="1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customFormat="1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customFormat="1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customFormat="1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customFormat="1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customFormat="1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customFormat="1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customFormat="1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customFormat="1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customFormat="1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customFormat="1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customFormat="1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customFormat="1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customFormat="1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customFormat="1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customFormat="1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customFormat="1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customFormat="1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customFormat="1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customFormat="1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customFormat="1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customFormat="1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customFormat="1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customFormat="1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customFormat="1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customFormat="1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customFormat="1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customFormat="1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customFormat="1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customFormat="1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customFormat="1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customFormat="1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customFormat="1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customFormat="1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customFormat="1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customFormat="1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customFormat="1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customFormat="1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customFormat="1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customFormat="1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customFormat="1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customFormat="1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customFormat="1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customFormat="1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customFormat="1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customFormat="1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customFormat="1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customFormat="1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customFormat="1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customFormat="1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customFormat="1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customFormat="1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customFormat="1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customFormat="1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customFormat="1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customFormat="1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customFormat="1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customFormat="1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customFormat="1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customFormat="1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customFormat="1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customFormat="1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customFormat="1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customFormat="1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customFormat="1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customFormat="1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customFormat="1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customFormat="1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customFormat="1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customFormat="1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customFormat="1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customFormat="1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customFormat="1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customFormat="1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customFormat="1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customFormat="1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customFormat="1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customFormat="1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customFormat="1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customFormat="1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customFormat="1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customFormat="1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customFormat="1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customFormat="1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customFormat="1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customFormat="1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customFormat="1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customFormat="1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customFormat="1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customFormat="1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customFormat="1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customFormat="1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customFormat="1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customFormat="1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customFormat="1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customFormat="1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customFormat="1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customFormat="1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customFormat="1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customFormat="1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customFormat="1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customFormat="1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customFormat="1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customFormat="1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customFormat="1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customFormat="1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customFormat="1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customFormat="1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customFormat="1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customFormat="1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customFormat="1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customFormat="1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customFormat="1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customFormat="1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customFormat="1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customFormat="1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customFormat="1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customFormat="1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customFormat="1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customFormat="1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customFormat="1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customFormat="1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customFormat="1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customFormat="1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customFormat="1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customFormat="1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customFormat="1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customFormat="1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customFormat="1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customFormat="1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customFormat="1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customFormat="1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customFormat="1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customFormat="1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customFormat="1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customFormat="1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customFormat="1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customFormat="1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customFormat="1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customFormat="1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customFormat="1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customFormat="1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customFormat="1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customFormat="1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customFormat="1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customFormat="1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customFormat="1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customFormat="1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customFormat="1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customFormat="1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customFormat="1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customFormat="1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customFormat="1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customFormat="1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customFormat="1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customFormat="1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customFormat="1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customFormat="1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customFormat="1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customFormat="1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customFormat="1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customFormat="1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customFormat="1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customFormat="1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customFormat="1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customFormat="1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customFormat="1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customFormat="1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customFormat="1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customFormat="1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customFormat="1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customFormat="1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customFormat="1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customFormat="1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customFormat="1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customFormat="1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customFormat="1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customFormat="1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customFormat="1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customFormat="1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customFormat="1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customFormat="1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customFormat="1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customFormat="1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customFormat="1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customFormat="1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customFormat="1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customFormat="1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customFormat="1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customFormat="1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customFormat="1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customFormat="1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customFormat="1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customFormat="1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customFormat="1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customFormat="1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customFormat="1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customFormat="1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customFormat="1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customFormat="1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customFormat="1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customFormat="1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customFormat="1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customFormat="1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customFormat="1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customFormat="1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customFormat="1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customFormat="1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customFormat="1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customFormat="1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customFormat="1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customFormat="1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customFormat="1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customFormat="1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customFormat="1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customFormat="1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customFormat="1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customFormat="1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customFormat="1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customFormat="1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customFormat="1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customFormat="1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customFormat="1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customFormat="1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customFormat="1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customFormat="1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customFormat="1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customFormat="1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customFormat="1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customFormat="1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customFormat="1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customFormat="1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customFormat="1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customFormat="1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customFormat="1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customFormat="1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customFormat="1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customFormat="1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customFormat="1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customFormat="1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customFormat="1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customFormat="1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customFormat="1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customFormat="1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customFormat="1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customFormat="1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customFormat="1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customFormat="1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customFormat="1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customFormat="1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customFormat="1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customFormat="1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customFormat="1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customFormat="1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customFormat="1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customFormat="1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customFormat="1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customFormat="1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customFormat="1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customFormat="1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customFormat="1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customFormat="1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customFormat="1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customFormat="1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customFormat="1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customFormat="1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customFormat="1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customFormat="1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customFormat="1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customFormat="1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customFormat="1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customFormat="1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customFormat="1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customFormat="1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customFormat="1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customFormat="1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customFormat="1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customFormat="1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customFormat="1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customFormat="1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customFormat="1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customFormat="1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customFormat="1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customFormat="1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customFormat="1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customFormat="1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customFormat="1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customFormat="1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customFormat="1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customFormat="1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customFormat="1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customFormat="1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customFormat="1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customFormat="1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customFormat="1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customFormat="1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customFormat="1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customFormat="1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customFormat="1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customFormat="1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customFormat="1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customFormat="1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customFormat="1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customFormat="1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customFormat="1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customFormat="1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customFormat="1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customFormat="1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customFormat="1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customFormat="1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customFormat="1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customFormat="1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customFormat="1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customFormat="1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customFormat="1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customFormat="1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customFormat="1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customFormat="1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customFormat="1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customFormat="1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customFormat="1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customFormat="1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customFormat="1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customFormat="1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customFormat="1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customFormat="1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customFormat="1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customFormat="1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customFormat="1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customFormat="1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customFormat="1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customFormat="1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customFormat="1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customFormat="1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customFormat="1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customFormat="1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customFormat="1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customFormat="1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customFormat="1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customFormat="1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customFormat="1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customFormat="1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customFormat="1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customFormat="1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customFormat="1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customFormat="1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customFormat="1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customFormat="1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customFormat="1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customFormat="1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customFormat="1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customFormat="1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customFormat="1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customFormat="1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customFormat="1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customFormat="1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customFormat="1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customFormat="1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customFormat="1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customFormat="1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customFormat="1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customFormat="1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customFormat="1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customFormat="1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customFormat="1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customFormat="1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customFormat="1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customFormat="1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customFormat="1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customFormat="1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customFormat="1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customFormat="1" x14ac:dyDescent="0.25"/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7"/>
  <sheetViews>
    <sheetView topLeftCell="A7" zoomScaleNormal="100" workbookViewId="0">
      <selection activeCell="F30" sqref="F3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24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25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26</v>
      </c>
      <c r="C9" s="51"/>
      <c r="D9" s="51"/>
      <c r="E9" s="51"/>
      <c r="F9" s="51"/>
      <c r="G9" s="51"/>
      <c r="H9" s="12">
        <v>970.17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45352</v>
      </c>
      <c r="C10" s="13" t="s">
        <v>8</v>
      </c>
      <c r="D10" s="23">
        <v>80869.320000000007</v>
      </c>
      <c r="E10" s="23">
        <f t="shared" ref="E10:E36" si="0">D10-F10</f>
        <v>60652.920000000006</v>
      </c>
      <c r="F10" s="23">
        <v>20216.400000000001</v>
      </c>
      <c r="G10" s="23">
        <f t="shared" ref="G10:G36" si="1">F10</f>
        <v>20216.400000000001</v>
      </c>
      <c r="H10" s="12">
        <f t="shared" ref="H10:H35" si="2">H9+F10-G10</f>
        <v>970.16999999999825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6" si="3">B10+(MOD(B10,7)=6)*2+1</f>
        <v>45355</v>
      </c>
      <c r="C11" s="13" t="s">
        <v>8</v>
      </c>
      <c r="D11" s="23">
        <v>8256.35</v>
      </c>
      <c r="E11" s="23">
        <f t="shared" si="0"/>
        <v>6192.35</v>
      </c>
      <c r="F11" s="24">
        <v>2064</v>
      </c>
      <c r="G11" s="23">
        <f t="shared" si="1"/>
        <v>2064</v>
      </c>
      <c r="H11" s="12">
        <f t="shared" si="2"/>
        <v>970.16999999999825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45356</v>
      </c>
      <c r="C12" s="13" t="s">
        <v>8</v>
      </c>
      <c r="D12" s="23">
        <v>4254.33</v>
      </c>
      <c r="E12" s="23">
        <f t="shared" si="0"/>
        <v>3190.84</v>
      </c>
      <c r="F12" s="24">
        <v>1063.49</v>
      </c>
      <c r="G12" s="23">
        <f t="shared" si="1"/>
        <v>1063.49</v>
      </c>
      <c r="H12" s="12">
        <f t="shared" si="2"/>
        <v>970.16999999999825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45357</v>
      </c>
      <c r="C13" s="13" t="s">
        <v>8</v>
      </c>
      <c r="D13" s="23">
        <v>4695.83</v>
      </c>
      <c r="E13" s="23">
        <f t="shared" si="0"/>
        <v>3521.9700000000003</v>
      </c>
      <c r="F13" s="24">
        <v>1173.8599999999999</v>
      </c>
      <c r="G13" s="23">
        <f t="shared" si="1"/>
        <v>1173.8599999999999</v>
      </c>
      <c r="H13" s="12">
        <f t="shared" si="2"/>
        <v>970.16999999999803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45358</v>
      </c>
      <c r="C14" s="13" t="s">
        <v>8</v>
      </c>
      <c r="D14" s="23">
        <v>10994.44</v>
      </c>
      <c r="E14" s="23">
        <f t="shared" si="0"/>
        <v>8245.9700000000012</v>
      </c>
      <c r="F14" s="24">
        <v>2748.47</v>
      </c>
      <c r="G14" s="23">
        <f t="shared" si="1"/>
        <v>2748.47</v>
      </c>
      <c r="H14" s="12">
        <f t="shared" si="2"/>
        <v>970.1699999999978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45359</v>
      </c>
      <c r="C15" s="13" t="s">
        <v>8</v>
      </c>
      <c r="D15" s="23">
        <v>4382.54</v>
      </c>
      <c r="E15" s="23">
        <f t="shared" si="0"/>
        <v>3287.01</v>
      </c>
      <c r="F15" s="25">
        <v>1095.53</v>
      </c>
      <c r="G15" s="23">
        <f t="shared" si="1"/>
        <v>1095.53</v>
      </c>
      <c r="H15" s="12">
        <f t="shared" si="2"/>
        <v>970.16999999999803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45362</v>
      </c>
      <c r="C16" s="13" t="s">
        <v>8</v>
      </c>
      <c r="D16" s="23">
        <v>3421.06</v>
      </c>
      <c r="E16" s="23">
        <f t="shared" si="0"/>
        <v>2565.85</v>
      </c>
      <c r="F16" s="25">
        <v>855.21</v>
      </c>
      <c r="G16" s="23">
        <f t="shared" si="1"/>
        <v>855.21</v>
      </c>
      <c r="H16" s="12">
        <f t="shared" si="2"/>
        <v>970.16999999999803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45363</v>
      </c>
      <c r="C17" s="13" t="s">
        <v>8</v>
      </c>
      <c r="D17" s="23">
        <v>8835.42</v>
      </c>
      <c r="E17" s="23">
        <f t="shared" si="0"/>
        <v>6626.67</v>
      </c>
      <c r="F17" s="25">
        <v>2208.75</v>
      </c>
      <c r="G17" s="23">
        <f t="shared" si="1"/>
        <v>2208.75</v>
      </c>
      <c r="H17" s="12">
        <f t="shared" si="2"/>
        <v>970.16999999999825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45364</v>
      </c>
      <c r="C18" s="13" t="s">
        <v>8</v>
      </c>
      <c r="D18" s="23">
        <v>6083.66</v>
      </c>
      <c r="E18" s="23">
        <f t="shared" si="0"/>
        <v>4562.78</v>
      </c>
      <c r="F18" s="25">
        <v>1520.88</v>
      </c>
      <c r="G18" s="23">
        <f t="shared" si="1"/>
        <v>1520.88</v>
      </c>
      <c r="H18" s="12">
        <f t="shared" si="2"/>
        <v>970.16999999999825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45365</v>
      </c>
      <c r="C19" s="13" t="s">
        <v>8</v>
      </c>
      <c r="D19" s="23">
        <v>9087.64</v>
      </c>
      <c r="E19" s="23">
        <f t="shared" si="0"/>
        <v>6815.7699999999995</v>
      </c>
      <c r="F19" s="25">
        <v>2271.87</v>
      </c>
      <c r="G19" s="23">
        <f t="shared" si="1"/>
        <v>2271.87</v>
      </c>
      <c r="H19" s="12">
        <f t="shared" si="2"/>
        <v>970.16999999999825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45366</v>
      </c>
      <c r="C20" s="13" t="s">
        <v>8</v>
      </c>
      <c r="D20" s="23">
        <v>3540.17</v>
      </c>
      <c r="E20" s="23">
        <f t="shared" si="0"/>
        <v>2655.15</v>
      </c>
      <c r="F20" s="25">
        <v>885.02</v>
      </c>
      <c r="G20" s="23">
        <f t="shared" si="1"/>
        <v>885.02</v>
      </c>
      <c r="H20" s="12">
        <f t="shared" si="2"/>
        <v>970.16999999999825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45369</v>
      </c>
      <c r="C21" s="13" t="s">
        <v>8</v>
      </c>
      <c r="D21" s="23">
        <v>2604.8200000000002</v>
      </c>
      <c r="E21" s="23">
        <f t="shared" si="0"/>
        <v>1953.67</v>
      </c>
      <c r="F21" s="25">
        <v>651.15</v>
      </c>
      <c r="G21" s="23">
        <f t="shared" si="1"/>
        <v>651.15</v>
      </c>
      <c r="H21" s="12">
        <f t="shared" si="2"/>
        <v>970.16999999999837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45370</v>
      </c>
      <c r="C22" s="13" t="s">
        <v>8</v>
      </c>
      <c r="D22" s="23">
        <v>6218.49</v>
      </c>
      <c r="E22" s="23">
        <f t="shared" si="0"/>
        <v>4663.9399999999996</v>
      </c>
      <c r="F22" s="25">
        <v>1554.55</v>
      </c>
      <c r="G22" s="23">
        <f t="shared" si="1"/>
        <v>1554.55</v>
      </c>
      <c r="H22" s="12">
        <f t="shared" si="2"/>
        <v>970.16999999999848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45371</v>
      </c>
      <c r="C23" s="13" t="s">
        <v>8</v>
      </c>
      <c r="D23" s="23">
        <v>6257.83</v>
      </c>
      <c r="E23" s="23">
        <f t="shared" si="0"/>
        <v>4693.43</v>
      </c>
      <c r="F23" s="25">
        <v>1564.4</v>
      </c>
      <c r="G23" s="23">
        <f t="shared" si="1"/>
        <v>1564.4</v>
      </c>
      <c r="H23" s="12">
        <f t="shared" si="2"/>
        <v>970.16999999999871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45372</v>
      </c>
      <c r="C24" s="13" t="s">
        <v>8</v>
      </c>
      <c r="D24" s="23">
        <v>2479.66</v>
      </c>
      <c r="E24" s="23">
        <f t="shared" si="0"/>
        <v>1859.7999999999997</v>
      </c>
      <c r="F24" s="25">
        <v>619.86</v>
      </c>
      <c r="G24" s="23">
        <f t="shared" si="1"/>
        <v>619.86</v>
      </c>
      <c r="H24" s="12">
        <f t="shared" si="2"/>
        <v>970.16999999999882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45373</v>
      </c>
      <c r="C25" s="13" t="s">
        <v>8</v>
      </c>
      <c r="D25" s="23">
        <v>4218.2299999999996</v>
      </c>
      <c r="E25" s="23">
        <f t="shared" si="0"/>
        <v>3163.7099999999996</v>
      </c>
      <c r="F25" s="25">
        <v>1054.52</v>
      </c>
      <c r="G25" s="23">
        <f t="shared" si="1"/>
        <v>1054.52</v>
      </c>
      <c r="H25" s="12">
        <f t="shared" si="2"/>
        <v>970.16999999999871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45376</v>
      </c>
      <c r="C26" s="13" t="s">
        <v>8</v>
      </c>
      <c r="D26" s="23">
        <v>5160.13</v>
      </c>
      <c r="E26" s="23">
        <f t="shared" si="0"/>
        <v>3870.15</v>
      </c>
      <c r="F26" s="25">
        <v>1289.98</v>
      </c>
      <c r="G26" s="23">
        <f t="shared" si="1"/>
        <v>1289.98</v>
      </c>
      <c r="H26" s="12">
        <f t="shared" si="2"/>
        <v>970.16999999999871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45377</v>
      </c>
      <c r="C27" s="13" t="s">
        <v>8</v>
      </c>
      <c r="D27" s="23">
        <v>7814.29</v>
      </c>
      <c r="E27" s="23">
        <f t="shared" si="0"/>
        <v>5860.8</v>
      </c>
      <c r="F27" s="25">
        <v>1953.49</v>
      </c>
      <c r="G27" s="23">
        <f t="shared" si="1"/>
        <v>1953.49</v>
      </c>
      <c r="H27" s="12">
        <f t="shared" si="2"/>
        <v>970.16999999999894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45378</v>
      </c>
      <c r="C28" s="13" t="s">
        <v>8</v>
      </c>
      <c r="D28" s="23">
        <v>6591.04</v>
      </c>
      <c r="E28" s="23">
        <f t="shared" si="0"/>
        <v>4943.37</v>
      </c>
      <c r="F28" s="25">
        <v>1647.67</v>
      </c>
      <c r="G28" s="23">
        <f t="shared" si="1"/>
        <v>1647.67</v>
      </c>
      <c r="H28" s="12">
        <f t="shared" si="2"/>
        <v>970.16999999999916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45379</v>
      </c>
      <c r="C29" s="13" t="s">
        <v>8</v>
      </c>
      <c r="D29" s="23">
        <v>11291.52</v>
      </c>
      <c r="E29" s="23">
        <f t="shared" si="0"/>
        <v>8468.75</v>
      </c>
      <c r="F29" s="25">
        <v>2822.77</v>
      </c>
      <c r="G29" s="23">
        <f>F29</f>
        <v>2822.77</v>
      </c>
      <c r="H29" s="12">
        <f>H28+F29-G29</f>
        <v>970.16999999999916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12</v>
      </c>
      <c r="B30" s="22">
        <v>45352</v>
      </c>
      <c r="C30" s="13" t="s">
        <v>11</v>
      </c>
      <c r="D30" s="28">
        <v>10365.049999999999</v>
      </c>
      <c r="E30" s="28">
        <f>D30-F30</f>
        <v>7773.7899999999991</v>
      </c>
      <c r="F30" s="25">
        <v>2591.2600000000002</v>
      </c>
      <c r="G30" s="23">
        <v>0</v>
      </c>
      <c r="H30" s="12">
        <f>H29+F30-G30</f>
        <v>3561.4299999999994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f t="shared" si="3"/>
        <v>45355</v>
      </c>
      <c r="C31" s="27" t="s">
        <v>11</v>
      </c>
      <c r="D31" s="23"/>
      <c r="E31" s="23">
        <f t="shared" si="0"/>
        <v>0</v>
      </c>
      <c r="F31" s="25"/>
      <c r="G31" s="23">
        <f t="shared" si="1"/>
        <v>0</v>
      </c>
      <c r="H31" s="12">
        <f t="shared" si="2"/>
        <v>3561.4299999999994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f t="shared" si="3"/>
        <v>45356</v>
      </c>
      <c r="C32" s="27" t="s">
        <v>11</v>
      </c>
      <c r="D32" s="23"/>
      <c r="E32" s="23">
        <f t="shared" si="0"/>
        <v>0</v>
      </c>
      <c r="F32" s="25"/>
      <c r="G32" s="23">
        <f t="shared" si="1"/>
        <v>0</v>
      </c>
      <c r="H32" s="12">
        <f t="shared" si="2"/>
        <v>3561.4299999999994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f t="shared" si="3"/>
        <v>45357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3561.4299999999994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f t="shared" si="3"/>
        <v>45358</v>
      </c>
      <c r="C34" s="27" t="s">
        <v>11</v>
      </c>
      <c r="D34" s="23"/>
      <c r="E34" s="23">
        <f t="shared" si="0"/>
        <v>0</v>
      </c>
      <c r="F34" s="25"/>
      <c r="G34" s="23">
        <f t="shared" si="1"/>
        <v>0</v>
      </c>
      <c r="H34" s="12">
        <f t="shared" si="2"/>
        <v>3561.4299999999994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f t="shared" si="3"/>
        <v>45359</v>
      </c>
      <c r="C35" s="27" t="s">
        <v>11</v>
      </c>
      <c r="D35" s="23"/>
      <c r="E35" s="23">
        <f t="shared" si="0"/>
        <v>0</v>
      </c>
      <c r="F35" s="25"/>
      <c r="G35" s="23">
        <f t="shared" si="1"/>
        <v>0</v>
      </c>
      <c r="H35" s="12">
        <f t="shared" si="2"/>
        <v>3561.4299999999994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" hidden="1" customHeight="1" x14ac:dyDescent="0.25">
      <c r="A36" s="2"/>
      <c r="B36" s="22">
        <f t="shared" si="3"/>
        <v>45362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 t="shared" si="1"/>
        <v>0</v>
      </c>
      <c r="H36" s="12">
        <f>H35+F36-G36</f>
        <v>3561.4299999999994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207421.82000000004</v>
      </c>
      <c r="E37" s="20">
        <f>SUM(E10:E36)</f>
        <v>155568.69</v>
      </c>
      <c r="F37" s="20">
        <f>SUM(F10:F36)</f>
        <v>51853.130000000005</v>
      </c>
      <c r="G37" s="23">
        <f>SUM(G10:G30)</f>
        <v>49261.87</v>
      </c>
      <c r="H37" s="12">
        <f>+H36</f>
        <v>3561.4299999999994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2" t="s">
        <v>10</v>
      </c>
      <c r="C38" s="53"/>
      <c r="D38" s="53"/>
      <c r="E38" s="53"/>
      <c r="F38" s="53"/>
      <c r="G38" s="53"/>
      <c r="H38" s="54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41" t="s">
        <v>29</v>
      </c>
      <c r="C39" s="42"/>
      <c r="D39" s="42"/>
      <c r="E39" s="42"/>
      <c r="F39" s="42"/>
      <c r="G39" s="42"/>
      <c r="H39" s="43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55" t="s">
        <v>30</v>
      </c>
      <c r="C40" s="42"/>
      <c r="D40" s="42"/>
      <c r="E40" s="42"/>
      <c r="F40" s="42"/>
      <c r="G40" s="42"/>
      <c r="H40" s="4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55"/>
      <c r="C41" s="42"/>
      <c r="D41" s="42"/>
      <c r="E41" s="42"/>
      <c r="F41" s="42"/>
      <c r="G41" s="42"/>
      <c r="H41" s="43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41"/>
      <c r="C42" s="42"/>
      <c r="D42" s="42"/>
      <c r="E42" s="42"/>
      <c r="F42" s="42"/>
      <c r="G42" s="42"/>
      <c r="H42" s="43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44"/>
      <c r="C43" s="45"/>
      <c r="D43" s="45"/>
      <c r="E43" s="45"/>
      <c r="F43" s="45"/>
      <c r="G43" s="45"/>
      <c r="H43" s="46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9"/>
  <sheetViews>
    <sheetView topLeftCell="A13" zoomScaleNormal="100" workbookViewId="0">
      <selection activeCell="F32" sqref="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31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44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32</v>
      </c>
      <c r="C9" s="51"/>
      <c r="D9" s="51"/>
      <c r="E9" s="51"/>
      <c r="F9" s="51"/>
      <c r="G9" s="51"/>
      <c r="H9" s="12">
        <v>3561.43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45383</v>
      </c>
      <c r="C10" s="13" t="s">
        <v>8</v>
      </c>
      <c r="D10" s="23">
        <v>23532.74</v>
      </c>
      <c r="E10" s="23">
        <f t="shared" ref="E10:E38" si="0">D10-F10</f>
        <v>17649.800000000003</v>
      </c>
      <c r="F10" s="23">
        <v>5882.94</v>
      </c>
      <c r="G10" s="23">
        <f t="shared" ref="G10:G38" si="1">F10</f>
        <v>5882.94</v>
      </c>
      <c r="H10" s="12">
        <f t="shared" ref="H10:H37" si="2">H9+F10-G10</f>
        <v>3561.4299999999994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8" si="3">B10+(MOD(B10,7)=6)*2+1</f>
        <v>45384</v>
      </c>
      <c r="C11" s="13" t="s">
        <v>8</v>
      </c>
      <c r="D11" s="23">
        <v>43078.23</v>
      </c>
      <c r="E11" s="23">
        <f t="shared" si="0"/>
        <v>32309.420000000006</v>
      </c>
      <c r="F11" s="24">
        <v>10768.81</v>
      </c>
      <c r="G11" s="23">
        <f t="shared" si="1"/>
        <v>10768.81</v>
      </c>
      <c r="H11" s="12">
        <f t="shared" si="2"/>
        <v>3561.4299999999985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45385</v>
      </c>
      <c r="C12" s="13" t="s">
        <v>8</v>
      </c>
      <c r="D12" s="23">
        <v>3518.25</v>
      </c>
      <c r="E12" s="23">
        <f t="shared" si="0"/>
        <v>2638.77</v>
      </c>
      <c r="F12" s="24">
        <v>879.48</v>
      </c>
      <c r="G12" s="23">
        <f t="shared" si="1"/>
        <v>879.48</v>
      </c>
      <c r="H12" s="12">
        <f t="shared" si="2"/>
        <v>3561.429999999998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45386</v>
      </c>
      <c r="C13" s="13" t="s">
        <v>8</v>
      </c>
      <c r="D13" s="23">
        <v>9077.7800000000007</v>
      </c>
      <c r="E13" s="23">
        <f t="shared" si="0"/>
        <v>6808.42</v>
      </c>
      <c r="F13" s="24">
        <v>2269.36</v>
      </c>
      <c r="G13" s="23">
        <f t="shared" si="1"/>
        <v>2269.36</v>
      </c>
      <c r="H13" s="12">
        <f t="shared" si="2"/>
        <v>3561.429999999998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45387</v>
      </c>
      <c r="C14" s="13" t="s">
        <v>8</v>
      </c>
      <c r="D14" s="23">
        <v>10392.25</v>
      </c>
      <c r="E14" s="23">
        <f t="shared" si="0"/>
        <v>7794.3</v>
      </c>
      <c r="F14" s="24">
        <v>2597.9499999999998</v>
      </c>
      <c r="G14" s="23">
        <f t="shared" si="1"/>
        <v>2597.9499999999998</v>
      </c>
      <c r="H14" s="12">
        <f t="shared" si="2"/>
        <v>3561.4299999999976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45390</v>
      </c>
      <c r="C15" s="13" t="s">
        <v>8</v>
      </c>
      <c r="D15" s="23">
        <v>7992.37</v>
      </c>
      <c r="E15" s="23">
        <f t="shared" si="0"/>
        <v>5994.42</v>
      </c>
      <c r="F15" s="25">
        <v>1997.95</v>
      </c>
      <c r="G15" s="23">
        <f t="shared" si="1"/>
        <v>1997.95</v>
      </c>
      <c r="H15" s="12">
        <f t="shared" si="2"/>
        <v>3561.4299999999976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45391</v>
      </c>
      <c r="C16" s="13" t="s">
        <v>8</v>
      </c>
      <c r="D16" s="23">
        <v>2738.59</v>
      </c>
      <c r="E16" s="23">
        <f t="shared" si="0"/>
        <v>2054.02</v>
      </c>
      <c r="F16" s="25">
        <v>684.57</v>
      </c>
      <c r="G16" s="23">
        <f t="shared" si="1"/>
        <v>684.57</v>
      </c>
      <c r="H16" s="12">
        <f t="shared" si="2"/>
        <v>3561.4299999999971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45392</v>
      </c>
      <c r="C17" s="13" t="s">
        <v>8</v>
      </c>
      <c r="D17" s="23">
        <v>4474.47</v>
      </c>
      <c r="E17" s="23">
        <f t="shared" si="0"/>
        <v>3355.96</v>
      </c>
      <c r="F17" s="25">
        <v>1118.51</v>
      </c>
      <c r="G17" s="23">
        <f t="shared" si="1"/>
        <v>1118.51</v>
      </c>
      <c r="H17" s="12">
        <f t="shared" si="2"/>
        <v>3561.4299999999967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45393</v>
      </c>
      <c r="C18" s="13" t="s">
        <v>8</v>
      </c>
      <c r="D18" s="23">
        <v>8266.84</v>
      </c>
      <c r="E18" s="23">
        <f t="shared" si="0"/>
        <v>6200.27</v>
      </c>
      <c r="F18" s="25">
        <v>2066.5700000000002</v>
      </c>
      <c r="G18" s="23">
        <f t="shared" si="1"/>
        <v>2066.5700000000002</v>
      </c>
      <c r="H18" s="12">
        <f t="shared" si="2"/>
        <v>3561.4299999999962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45394</v>
      </c>
      <c r="C19" s="13" t="s">
        <v>8</v>
      </c>
      <c r="D19" s="23">
        <v>9181.7099999999991</v>
      </c>
      <c r="E19" s="23">
        <f t="shared" si="0"/>
        <v>6886.369999999999</v>
      </c>
      <c r="F19" s="25">
        <v>2295.34</v>
      </c>
      <c r="G19" s="23">
        <f t="shared" si="1"/>
        <v>2295.34</v>
      </c>
      <c r="H19" s="12">
        <f t="shared" si="2"/>
        <v>3561.4299999999967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45397</v>
      </c>
      <c r="C20" s="13" t="s">
        <v>8</v>
      </c>
      <c r="D20" s="23">
        <v>3620.9</v>
      </c>
      <c r="E20" s="23">
        <f t="shared" si="0"/>
        <v>2715.71</v>
      </c>
      <c r="F20" s="25">
        <v>905.19</v>
      </c>
      <c r="G20" s="23">
        <f t="shared" si="1"/>
        <v>905.19</v>
      </c>
      <c r="H20" s="12">
        <f t="shared" si="2"/>
        <v>3561.4299999999971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45398</v>
      </c>
      <c r="C21" s="13" t="s">
        <v>8</v>
      </c>
      <c r="D21" s="23">
        <v>10023.42</v>
      </c>
      <c r="E21" s="23">
        <f t="shared" si="0"/>
        <v>7517.65</v>
      </c>
      <c r="F21" s="25">
        <v>2505.77</v>
      </c>
      <c r="G21" s="23">
        <f t="shared" si="1"/>
        <v>2505.77</v>
      </c>
      <c r="H21" s="12">
        <f t="shared" si="2"/>
        <v>3561.4299999999971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45399</v>
      </c>
      <c r="C22" s="13" t="s">
        <v>8</v>
      </c>
      <c r="D22" s="23">
        <v>2953.51</v>
      </c>
      <c r="E22" s="23">
        <f t="shared" si="0"/>
        <v>2215.1800000000003</v>
      </c>
      <c r="F22" s="25">
        <v>738.33</v>
      </c>
      <c r="G22" s="23">
        <f t="shared" si="1"/>
        <v>738.33</v>
      </c>
      <c r="H22" s="12">
        <f t="shared" si="2"/>
        <v>3561.4299999999976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45400</v>
      </c>
      <c r="C23" s="13" t="s">
        <v>8</v>
      </c>
      <c r="D23" s="23">
        <v>3688.51</v>
      </c>
      <c r="E23" s="23">
        <f t="shared" si="0"/>
        <v>2766.42</v>
      </c>
      <c r="F23" s="25">
        <v>922.09</v>
      </c>
      <c r="G23" s="23">
        <f t="shared" si="1"/>
        <v>922.09</v>
      </c>
      <c r="H23" s="12">
        <f t="shared" si="2"/>
        <v>3561.4299999999976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45401</v>
      </c>
      <c r="C24" s="13" t="s">
        <v>8</v>
      </c>
      <c r="D24" s="23">
        <v>1819.98</v>
      </c>
      <c r="E24" s="23">
        <f t="shared" si="0"/>
        <v>1365.04</v>
      </c>
      <c r="F24" s="25">
        <v>454.94</v>
      </c>
      <c r="G24" s="23">
        <f t="shared" si="1"/>
        <v>454.94</v>
      </c>
      <c r="H24" s="12">
        <f t="shared" si="2"/>
        <v>3561.4299999999976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45404</v>
      </c>
      <c r="C25" s="13" t="s">
        <v>8</v>
      </c>
      <c r="D25" s="23">
        <v>4037.97</v>
      </c>
      <c r="E25" s="23">
        <f t="shared" si="0"/>
        <v>3028.5</v>
      </c>
      <c r="F25" s="25">
        <v>1009.47</v>
      </c>
      <c r="G25" s="23">
        <f t="shared" si="1"/>
        <v>1009.47</v>
      </c>
      <c r="H25" s="12">
        <f t="shared" si="2"/>
        <v>3561.4299999999976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45405</v>
      </c>
      <c r="C26" s="13" t="s">
        <v>8</v>
      </c>
      <c r="D26" s="23">
        <v>5785.98</v>
      </c>
      <c r="E26" s="23">
        <f t="shared" si="0"/>
        <v>4339.5199999999995</v>
      </c>
      <c r="F26" s="25">
        <v>1446.46</v>
      </c>
      <c r="G26" s="23">
        <f t="shared" si="1"/>
        <v>1446.46</v>
      </c>
      <c r="H26" s="12">
        <f t="shared" si="2"/>
        <v>3561.4299999999976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45406</v>
      </c>
      <c r="C27" s="13" t="s">
        <v>8</v>
      </c>
      <c r="D27" s="23">
        <v>4269.26</v>
      </c>
      <c r="E27" s="23">
        <f t="shared" si="0"/>
        <v>3202</v>
      </c>
      <c r="F27" s="25">
        <v>1067.26</v>
      </c>
      <c r="G27" s="23">
        <f t="shared" si="1"/>
        <v>1067.26</v>
      </c>
      <c r="H27" s="12">
        <f t="shared" si="2"/>
        <v>3561.4299999999976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45407</v>
      </c>
      <c r="C28" s="13" t="s">
        <v>8</v>
      </c>
      <c r="D28" s="23">
        <v>3977.44</v>
      </c>
      <c r="E28" s="23">
        <f t="shared" si="0"/>
        <v>2983.12</v>
      </c>
      <c r="F28" s="25">
        <v>994.32</v>
      </c>
      <c r="G28" s="23">
        <f t="shared" si="1"/>
        <v>994.32</v>
      </c>
      <c r="H28" s="12">
        <f t="shared" si="2"/>
        <v>3561.4299999999971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45408</v>
      </c>
      <c r="C29" s="13" t="s">
        <v>8</v>
      </c>
      <c r="D29" s="23">
        <v>6109.24</v>
      </c>
      <c r="E29" s="23">
        <f t="shared" si="0"/>
        <v>4582</v>
      </c>
      <c r="F29" s="25">
        <v>1527.24</v>
      </c>
      <c r="G29" s="23">
        <f>F29</f>
        <v>1527.24</v>
      </c>
      <c r="H29" s="12">
        <f>H28+F29-G29</f>
        <v>3561.4299999999976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45411</v>
      </c>
      <c r="C30" s="13" t="s">
        <v>33</v>
      </c>
      <c r="D30" s="23">
        <v>6717.07</v>
      </c>
      <c r="E30" s="23">
        <f t="shared" si="0"/>
        <v>5037.8999999999996</v>
      </c>
      <c r="F30" s="25">
        <v>1679.17</v>
      </c>
      <c r="G30" s="23">
        <f t="shared" ref="G30:G31" si="4">F30</f>
        <v>1679.17</v>
      </c>
      <c r="H30" s="12">
        <f t="shared" ref="H30:H31" si="5">H29+F30-G30</f>
        <v>3561.4299999999976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45412</v>
      </c>
      <c r="C31" s="13" t="s">
        <v>34</v>
      </c>
      <c r="D31" s="23">
        <v>25329.32</v>
      </c>
      <c r="E31" s="23">
        <f t="shared" si="0"/>
        <v>18997.43</v>
      </c>
      <c r="F31" s="25">
        <v>6331.89</v>
      </c>
      <c r="G31" s="23">
        <f t="shared" si="4"/>
        <v>6331.89</v>
      </c>
      <c r="H31" s="12">
        <f t="shared" si="5"/>
        <v>3561.4299999999976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45383</v>
      </c>
      <c r="C32" s="13" t="s">
        <v>11</v>
      </c>
      <c r="D32" s="28">
        <v>11916.26</v>
      </c>
      <c r="E32" s="28">
        <f>D32-F32</f>
        <v>8937.19</v>
      </c>
      <c r="F32" s="25">
        <v>2979.07</v>
      </c>
      <c r="G32" s="23">
        <v>0</v>
      </c>
      <c r="H32" s="12">
        <f>H31+F32-G32</f>
        <v>6540.4999999999982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"/>
      <c r="B33" s="22">
        <f t="shared" si="3"/>
        <v>45384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6540.4999999999982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f t="shared" si="3"/>
        <v>45385</v>
      </c>
      <c r="C34" s="27" t="s">
        <v>11</v>
      </c>
      <c r="D34" s="33">
        <v>-156.80000000000001</v>
      </c>
      <c r="E34" s="33">
        <f t="shared" si="0"/>
        <v>-117.60000000000001</v>
      </c>
      <c r="F34" s="33">
        <v>-39.200000000000003</v>
      </c>
      <c r="G34" s="23">
        <v>0</v>
      </c>
      <c r="H34" s="12">
        <f>H33+F34-G34</f>
        <v>6501.2999999999984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6" t="s">
        <v>37</v>
      </c>
      <c r="B35" s="22">
        <v>45385</v>
      </c>
      <c r="C35" s="27" t="s">
        <v>11</v>
      </c>
      <c r="D35" s="23">
        <v>0</v>
      </c>
      <c r="E35" s="23">
        <f t="shared" si="0"/>
        <v>0</v>
      </c>
      <c r="F35" s="25">
        <v>0</v>
      </c>
      <c r="G35" s="23">
        <v>970.17</v>
      </c>
      <c r="H35" s="12">
        <f t="shared" si="2"/>
        <v>5531.1299999999983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45386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5531.1299999999983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 t="shared" si="3"/>
        <v>45387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 t="shared" si="2"/>
        <v>5531.1299999999983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 t="shared" si="3"/>
        <v>45390</v>
      </c>
      <c r="C38" s="13" t="s">
        <v>8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5531.1299999999983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212345.29000000007</v>
      </c>
      <c r="E39" s="20">
        <f>SUM(E10:E38)</f>
        <v>159261.81</v>
      </c>
      <c r="F39" s="20">
        <f>SUM(F10:F38)</f>
        <v>53083.479999999996</v>
      </c>
      <c r="G39" s="14">
        <f>SUM(G10:G32)</f>
        <v>50143.609999999993</v>
      </c>
      <c r="H39" s="12">
        <f>+H38</f>
        <v>5531.1299999999983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2" t="s">
        <v>10</v>
      </c>
      <c r="C40" s="53"/>
      <c r="D40" s="53"/>
      <c r="E40" s="53"/>
      <c r="F40" s="53"/>
      <c r="G40" s="53"/>
      <c r="H40" s="54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1" t="s">
        <v>35</v>
      </c>
      <c r="C41" s="42"/>
      <c r="D41" s="42"/>
      <c r="E41" s="42"/>
      <c r="F41" s="42"/>
      <c r="G41" s="42"/>
      <c r="H41" s="43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55" t="s">
        <v>38</v>
      </c>
      <c r="C42" s="42"/>
      <c r="D42" s="42"/>
      <c r="E42" s="42"/>
      <c r="F42" s="42"/>
      <c r="G42" s="42"/>
      <c r="H42" s="43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1.75" customHeight="1" x14ac:dyDescent="0.25">
      <c r="A43" s="29"/>
      <c r="B43" s="55" t="s">
        <v>36</v>
      </c>
      <c r="C43" s="42"/>
      <c r="D43" s="42"/>
      <c r="E43" s="42"/>
      <c r="F43" s="42"/>
      <c r="G43" s="42"/>
      <c r="H43" s="43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4.5" customHeight="1" x14ac:dyDescent="0.25">
      <c r="A44" s="29"/>
      <c r="B44" s="55" t="s">
        <v>39</v>
      </c>
      <c r="C44" s="56"/>
      <c r="D44" s="56"/>
      <c r="E44" s="56"/>
      <c r="F44" s="56"/>
      <c r="G44" s="56"/>
      <c r="H44" s="57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44"/>
      <c r="C45" s="45"/>
      <c r="D45" s="45"/>
      <c r="E45" s="45"/>
      <c r="F45" s="45"/>
      <c r="G45" s="45"/>
      <c r="H45" s="46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9"/>
  <sheetViews>
    <sheetView topLeftCell="A7" zoomScaleNormal="100" workbookViewId="0">
      <selection activeCell="M27" sqref="M2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31"/>
      <c r="B6" s="31"/>
      <c r="C6" s="31"/>
      <c r="D6" s="31"/>
      <c r="E6" s="31"/>
      <c r="F6" s="31"/>
      <c r="G6" s="31"/>
      <c r="H6" s="35" t="s">
        <v>48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31"/>
      <c r="B7" s="47" t="s">
        <v>45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31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31"/>
      <c r="B9" s="50" t="s">
        <v>49</v>
      </c>
      <c r="C9" s="51"/>
      <c r="D9" s="51"/>
      <c r="E9" s="51"/>
      <c r="F9" s="51"/>
      <c r="G9" s="51"/>
      <c r="H9" s="12">
        <v>5531.13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31"/>
      <c r="B10" s="22">
        <v>45414</v>
      </c>
      <c r="C10" s="13" t="s">
        <v>8</v>
      </c>
      <c r="D10" s="23">
        <v>32413.8</v>
      </c>
      <c r="E10" s="23">
        <f t="shared" ref="E10:E38" si="0">D10-F10</f>
        <v>24310.92</v>
      </c>
      <c r="F10" s="23">
        <v>8102.88</v>
      </c>
      <c r="G10" s="23">
        <f t="shared" ref="G10:G38" si="1">F10</f>
        <v>8102.88</v>
      </c>
      <c r="H10" s="12">
        <f t="shared" ref="H10:H33" si="2">H9+F10-G10</f>
        <v>5531.13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31"/>
      <c r="B11" s="22">
        <f t="shared" ref="B11:B31" si="3">B10+(MOD(B10,7)=6)*2+1</f>
        <v>45415</v>
      </c>
      <c r="C11" s="13" t="s">
        <v>8</v>
      </c>
      <c r="D11" s="23">
        <v>10225.67</v>
      </c>
      <c r="E11" s="23">
        <f t="shared" si="0"/>
        <v>7669.37</v>
      </c>
      <c r="F11" s="24">
        <v>2556.3000000000002</v>
      </c>
      <c r="G11" s="23">
        <f t="shared" si="1"/>
        <v>2556.3000000000002</v>
      </c>
      <c r="H11" s="12">
        <f t="shared" si="2"/>
        <v>5531.13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31"/>
      <c r="B12" s="22">
        <f t="shared" si="3"/>
        <v>45418</v>
      </c>
      <c r="C12" s="13" t="s">
        <v>8</v>
      </c>
      <c r="D12" s="23">
        <v>4682.8</v>
      </c>
      <c r="E12" s="23">
        <f t="shared" si="0"/>
        <v>3512.17</v>
      </c>
      <c r="F12" s="24">
        <v>1170.6300000000001</v>
      </c>
      <c r="G12" s="23">
        <f t="shared" si="1"/>
        <v>1170.6300000000001</v>
      </c>
      <c r="H12" s="12">
        <f t="shared" si="2"/>
        <v>5531.13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31"/>
      <c r="B13" s="22">
        <f t="shared" si="3"/>
        <v>45419</v>
      </c>
      <c r="C13" s="13" t="s">
        <v>8</v>
      </c>
      <c r="D13" s="23">
        <v>15389.48</v>
      </c>
      <c r="E13" s="23">
        <f t="shared" si="0"/>
        <v>11542.32</v>
      </c>
      <c r="F13" s="24">
        <v>3847.16</v>
      </c>
      <c r="G13" s="23">
        <f t="shared" si="1"/>
        <v>3847.16</v>
      </c>
      <c r="H13" s="12">
        <f t="shared" si="2"/>
        <v>5531.130000000001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31"/>
      <c r="B14" s="22">
        <f t="shared" si="3"/>
        <v>45420</v>
      </c>
      <c r="C14" s="13" t="s">
        <v>8</v>
      </c>
      <c r="D14" s="23">
        <v>10928.63</v>
      </c>
      <c r="E14" s="23">
        <f t="shared" si="0"/>
        <v>8196.6299999999992</v>
      </c>
      <c r="F14" s="24">
        <v>2732</v>
      </c>
      <c r="G14" s="23">
        <f t="shared" si="1"/>
        <v>2732</v>
      </c>
      <c r="H14" s="12">
        <f t="shared" si="2"/>
        <v>5531.130000000001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31"/>
      <c r="B15" s="22">
        <f t="shared" si="3"/>
        <v>45421</v>
      </c>
      <c r="C15" s="13" t="s">
        <v>8</v>
      </c>
      <c r="D15" s="23">
        <v>13145.41</v>
      </c>
      <c r="E15" s="23">
        <f t="shared" si="0"/>
        <v>9859.18</v>
      </c>
      <c r="F15" s="25">
        <v>3286.23</v>
      </c>
      <c r="G15" s="23">
        <f t="shared" si="1"/>
        <v>3286.23</v>
      </c>
      <c r="H15" s="12">
        <f t="shared" si="2"/>
        <v>5531.130000000001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31"/>
      <c r="B16" s="22">
        <f t="shared" si="3"/>
        <v>45422</v>
      </c>
      <c r="C16" s="13" t="s">
        <v>8</v>
      </c>
      <c r="D16" s="23">
        <v>8401.92</v>
      </c>
      <c r="E16" s="23">
        <f t="shared" si="0"/>
        <v>6301.54</v>
      </c>
      <c r="F16" s="25">
        <v>2100.38</v>
      </c>
      <c r="G16" s="23">
        <f t="shared" si="1"/>
        <v>2100.38</v>
      </c>
      <c r="H16" s="12">
        <f t="shared" si="2"/>
        <v>5531.130000000001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31"/>
      <c r="B17" s="22">
        <f t="shared" si="3"/>
        <v>45425</v>
      </c>
      <c r="C17" s="13" t="s">
        <v>8</v>
      </c>
      <c r="D17" s="23">
        <v>11495.27</v>
      </c>
      <c r="E17" s="23">
        <f t="shared" si="0"/>
        <v>8621.58</v>
      </c>
      <c r="F17" s="25">
        <v>2873.69</v>
      </c>
      <c r="G17" s="23">
        <f t="shared" si="1"/>
        <v>2873.69</v>
      </c>
      <c r="H17" s="12">
        <f t="shared" si="2"/>
        <v>5531.130000000001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31"/>
      <c r="B18" s="22">
        <f t="shared" si="3"/>
        <v>45426</v>
      </c>
      <c r="C18" s="13" t="s">
        <v>8</v>
      </c>
      <c r="D18" s="23">
        <v>13688.48</v>
      </c>
      <c r="E18" s="23">
        <f t="shared" si="0"/>
        <v>10266.52</v>
      </c>
      <c r="F18" s="25">
        <v>3421.96</v>
      </c>
      <c r="G18" s="23">
        <f t="shared" si="1"/>
        <v>3421.96</v>
      </c>
      <c r="H18" s="12">
        <f t="shared" si="2"/>
        <v>5531.13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31"/>
      <c r="B19" s="22">
        <f t="shared" si="3"/>
        <v>45427</v>
      </c>
      <c r="C19" s="13" t="s">
        <v>8</v>
      </c>
      <c r="D19" s="23">
        <v>5339.49</v>
      </c>
      <c r="E19" s="23">
        <f t="shared" si="0"/>
        <v>4004.6899999999996</v>
      </c>
      <c r="F19" s="25">
        <v>1334.8</v>
      </c>
      <c r="G19" s="23">
        <f t="shared" si="1"/>
        <v>1334.8</v>
      </c>
      <c r="H19" s="12">
        <f t="shared" si="2"/>
        <v>5531.13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31"/>
      <c r="B20" s="22">
        <f t="shared" si="3"/>
        <v>45428</v>
      </c>
      <c r="C20" s="13" t="s">
        <v>8</v>
      </c>
      <c r="D20" s="23">
        <v>7516.79</v>
      </c>
      <c r="E20" s="23">
        <f t="shared" si="0"/>
        <v>5637.7</v>
      </c>
      <c r="F20" s="25">
        <v>1879.09</v>
      </c>
      <c r="G20" s="23">
        <f t="shared" si="1"/>
        <v>1879.09</v>
      </c>
      <c r="H20" s="12">
        <f t="shared" si="2"/>
        <v>5531.13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31"/>
      <c r="B21" s="22">
        <f t="shared" si="3"/>
        <v>45429</v>
      </c>
      <c r="C21" s="13" t="s">
        <v>8</v>
      </c>
      <c r="D21" s="23">
        <v>7314.58</v>
      </c>
      <c r="E21" s="23">
        <f t="shared" si="0"/>
        <v>5485.99</v>
      </c>
      <c r="F21" s="25">
        <v>1828.59</v>
      </c>
      <c r="G21" s="23">
        <f t="shared" si="1"/>
        <v>1828.59</v>
      </c>
      <c r="H21" s="12">
        <f t="shared" si="2"/>
        <v>5531.13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31"/>
      <c r="B22" s="22">
        <f t="shared" si="3"/>
        <v>45432</v>
      </c>
      <c r="C22" s="13" t="s">
        <v>8</v>
      </c>
      <c r="D22" s="23">
        <v>8274.07</v>
      </c>
      <c r="E22" s="23">
        <f t="shared" si="0"/>
        <v>6205.61</v>
      </c>
      <c r="F22" s="25">
        <v>2068.46</v>
      </c>
      <c r="G22" s="23">
        <f t="shared" si="1"/>
        <v>2068.46</v>
      </c>
      <c r="H22" s="12">
        <f t="shared" si="2"/>
        <v>5531.13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31"/>
      <c r="B23" s="22">
        <f t="shared" si="3"/>
        <v>45433</v>
      </c>
      <c r="C23" s="13" t="s">
        <v>8</v>
      </c>
      <c r="D23" s="23">
        <v>16260.91</v>
      </c>
      <c r="E23" s="23">
        <f t="shared" si="0"/>
        <v>12195.85</v>
      </c>
      <c r="F23" s="25">
        <v>4065.06</v>
      </c>
      <c r="G23" s="23">
        <f t="shared" si="1"/>
        <v>4065.06</v>
      </c>
      <c r="H23" s="12">
        <f t="shared" si="2"/>
        <v>5531.130000000001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31"/>
      <c r="B24" s="22">
        <f t="shared" si="3"/>
        <v>45434</v>
      </c>
      <c r="C24" s="13" t="s">
        <v>8</v>
      </c>
      <c r="D24" s="23">
        <v>8285.48</v>
      </c>
      <c r="E24" s="23">
        <f t="shared" si="0"/>
        <v>6214.17</v>
      </c>
      <c r="F24" s="25">
        <v>2071.31</v>
      </c>
      <c r="G24" s="23">
        <f t="shared" si="1"/>
        <v>2071.31</v>
      </c>
      <c r="H24" s="12">
        <f t="shared" si="2"/>
        <v>5531.130000000001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31"/>
      <c r="B25" s="22">
        <f t="shared" si="3"/>
        <v>45435</v>
      </c>
      <c r="C25" s="13" t="s">
        <v>8</v>
      </c>
      <c r="D25" s="23">
        <v>11634.41</v>
      </c>
      <c r="E25" s="23">
        <f t="shared" si="0"/>
        <v>8725.8799999999992</v>
      </c>
      <c r="F25" s="25">
        <v>2908.53</v>
      </c>
      <c r="G25" s="23">
        <f t="shared" si="1"/>
        <v>2908.53</v>
      </c>
      <c r="H25" s="12">
        <f t="shared" si="2"/>
        <v>5531.130000000001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31"/>
      <c r="B26" s="22">
        <f t="shared" si="3"/>
        <v>45436</v>
      </c>
      <c r="C26" s="13" t="s">
        <v>8</v>
      </c>
      <c r="D26" s="23">
        <v>9186.7800000000007</v>
      </c>
      <c r="E26" s="23">
        <f t="shared" si="0"/>
        <v>6890.130000000001</v>
      </c>
      <c r="F26" s="25">
        <v>2296.65</v>
      </c>
      <c r="G26" s="23">
        <f t="shared" si="1"/>
        <v>2296.65</v>
      </c>
      <c r="H26" s="12">
        <f t="shared" si="2"/>
        <v>5531.130000000001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31"/>
      <c r="B27" s="22">
        <f t="shared" si="3"/>
        <v>45439</v>
      </c>
      <c r="C27" s="13" t="s">
        <v>8</v>
      </c>
      <c r="D27" s="23">
        <v>7566.34</v>
      </c>
      <c r="E27" s="23">
        <f t="shared" si="0"/>
        <v>5674.81</v>
      </c>
      <c r="F27" s="25">
        <v>1891.53</v>
      </c>
      <c r="G27" s="23">
        <f t="shared" si="1"/>
        <v>1891.53</v>
      </c>
      <c r="H27" s="12">
        <f t="shared" si="2"/>
        <v>5531.130000000001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31"/>
      <c r="B28" s="22">
        <f t="shared" si="3"/>
        <v>45440</v>
      </c>
      <c r="C28" s="13" t="s">
        <v>8</v>
      </c>
      <c r="D28" s="23">
        <v>29923.69</v>
      </c>
      <c r="E28" s="23">
        <f t="shared" si="0"/>
        <v>22442.949999999997</v>
      </c>
      <c r="F28" s="25">
        <v>7480.74</v>
      </c>
      <c r="G28" s="23">
        <f t="shared" si="1"/>
        <v>7480.74</v>
      </c>
      <c r="H28" s="12">
        <f t="shared" si="2"/>
        <v>5531.130000000001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2"/>
      <c r="B29" s="22">
        <f t="shared" si="3"/>
        <v>45441</v>
      </c>
      <c r="C29" s="13" t="s">
        <v>8</v>
      </c>
      <c r="D29" s="23">
        <v>26028.080000000002</v>
      </c>
      <c r="E29" s="23">
        <f t="shared" si="0"/>
        <v>19521.27</v>
      </c>
      <c r="F29" s="25">
        <v>6506.81</v>
      </c>
      <c r="G29" s="23">
        <f>F29</f>
        <v>6506.81</v>
      </c>
      <c r="H29" s="12">
        <f>H28+F29-G29</f>
        <v>5531.1300000000019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45442</v>
      </c>
      <c r="C30" s="13" t="s">
        <v>33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5531.1300000000019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45443</v>
      </c>
      <c r="C31" s="13" t="s">
        <v>34</v>
      </c>
      <c r="D31" s="23">
        <v>49094.48</v>
      </c>
      <c r="E31" s="23">
        <f t="shared" si="0"/>
        <v>36821.170000000006</v>
      </c>
      <c r="F31" s="25">
        <v>12273.31</v>
      </c>
      <c r="G31" s="23">
        <f t="shared" si="4"/>
        <v>12273.31</v>
      </c>
      <c r="H31" s="12">
        <f t="shared" si="5"/>
        <v>5531.1300000000028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32" t="s">
        <v>12</v>
      </c>
      <c r="B32" s="22">
        <v>45421</v>
      </c>
      <c r="C32" s="13" t="s">
        <v>11</v>
      </c>
      <c r="D32" s="33">
        <v>-5177.04</v>
      </c>
      <c r="E32" s="33">
        <f>D32-F32</f>
        <v>-3882.7799999999997</v>
      </c>
      <c r="F32" s="34">
        <v>-1294.26</v>
      </c>
      <c r="G32" s="23">
        <v>0</v>
      </c>
      <c r="H32" s="12">
        <f>H31+F32-G32</f>
        <v>4236.8700000000026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32" t="s">
        <v>13</v>
      </c>
      <c r="B33" s="22">
        <v>45432</v>
      </c>
      <c r="C33" s="27" t="s">
        <v>11</v>
      </c>
      <c r="D33" s="23"/>
      <c r="E33" s="23">
        <f t="shared" si="0"/>
        <v>0</v>
      </c>
      <c r="F33" s="25"/>
      <c r="G33" s="23">
        <v>2591.2600000000002</v>
      </c>
      <c r="H33" s="12">
        <f t="shared" si="2"/>
        <v>1645.6100000000024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32" t="s">
        <v>37</v>
      </c>
      <c r="B34" s="22">
        <v>45432</v>
      </c>
      <c r="C34" s="27" t="s">
        <v>11</v>
      </c>
      <c r="D34" s="33"/>
      <c r="E34" s="28">
        <f>D34-F34</f>
        <v>0</v>
      </c>
      <c r="F34" s="33"/>
      <c r="G34" s="23">
        <v>2939.87</v>
      </c>
      <c r="H34" s="12">
        <f>H33+F34-G34</f>
        <v>-1294.2599999999975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hidden="1" customHeight="1" x14ac:dyDescent="0.25">
      <c r="A35" s="32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-1294.2599999999975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hidden="1" customHeight="1" x14ac:dyDescent="0.25">
      <c r="A36" s="31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-1294.2599999999975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hidden="1" customHeight="1" x14ac:dyDescent="0.25">
      <c r="A37" s="31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-1294.2599999999975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hidden="1" customHeight="1" x14ac:dyDescent="0.25">
      <c r="A38" s="31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-1294.2599999999975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31"/>
      <c r="B39" s="18" t="s">
        <v>9</v>
      </c>
      <c r="C39" s="19"/>
      <c r="D39" s="20">
        <f>SUM(D10:D38)</f>
        <v>301619.52</v>
      </c>
      <c r="E39" s="20">
        <f>SUM(E10:E38)</f>
        <v>226217.67</v>
      </c>
      <c r="F39" s="20">
        <f>SUM(F10:F38)</f>
        <v>75401.849999999991</v>
      </c>
      <c r="G39" s="14">
        <f>SUM(G10:G32)</f>
        <v>76696.109999999986</v>
      </c>
      <c r="H39" s="12">
        <f>+H38</f>
        <v>-1294.2599999999975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31"/>
      <c r="B40" s="52" t="s">
        <v>10</v>
      </c>
      <c r="C40" s="53"/>
      <c r="D40" s="53"/>
      <c r="E40" s="53"/>
      <c r="F40" s="53"/>
      <c r="G40" s="53"/>
      <c r="H40" s="54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31"/>
      <c r="B41" s="41" t="s">
        <v>41</v>
      </c>
      <c r="C41" s="59"/>
      <c r="D41" s="59"/>
      <c r="E41" s="59"/>
      <c r="F41" s="59"/>
      <c r="G41" s="59"/>
      <c r="H41" s="43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31"/>
      <c r="B42" s="55" t="s">
        <v>40</v>
      </c>
      <c r="C42" s="59"/>
      <c r="D42" s="59"/>
      <c r="E42" s="59"/>
      <c r="F42" s="59"/>
      <c r="G42" s="59"/>
      <c r="H42" s="43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31"/>
      <c r="B43" s="55" t="s">
        <v>43</v>
      </c>
      <c r="C43" s="59"/>
      <c r="D43" s="59"/>
      <c r="E43" s="59"/>
      <c r="F43" s="59"/>
      <c r="G43" s="59"/>
      <c r="H43" s="43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31"/>
      <c r="B44" s="55" t="s">
        <v>42</v>
      </c>
      <c r="C44" s="58"/>
      <c r="D44" s="58"/>
      <c r="E44" s="58"/>
      <c r="F44" s="58"/>
      <c r="G44" s="58"/>
      <c r="H44" s="57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31"/>
      <c r="B45" s="44"/>
      <c r="C45" s="45"/>
      <c r="D45" s="45"/>
      <c r="E45" s="45"/>
      <c r="F45" s="45"/>
      <c r="G45" s="45"/>
      <c r="H45" s="46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9"/>
  <sheetViews>
    <sheetView topLeftCell="A7" zoomScaleNormal="100" workbookViewId="0">
      <selection activeCell="F32" sqref="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46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57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47</v>
      </c>
      <c r="C9" s="51"/>
      <c r="D9" s="51"/>
      <c r="E9" s="51"/>
      <c r="F9" s="51"/>
      <c r="G9" s="51"/>
      <c r="H9" s="12">
        <v>-1294.26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45446</v>
      </c>
      <c r="C10" s="13" t="s">
        <v>8</v>
      </c>
      <c r="D10" s="23">
        <v>307186.84000000003</v>
      </c>
      <c r="E10" s="23">
        <f t="shared" ref="E10:E38" si="0">D10-F10</f>
        <v>230391.69000000003</v>
      </c>
      <c r="F10" s="23">
        <v>76795.149999999994</v>
      </c>
      <c r="G10" s="23">
        <f t="shared" ref="G10:G38" si="1">F10</f>
        <v>76795.149999999994</v>
      </c>
      <c r="H10" s="12">
        <f t="shared" ref="H10:H33" si="2">H9+F10-G10</f>
        <v>-1294.2599999999948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3">B10+(MOD(B10,7)=6)*2+1</f>
        <v>45447</v>
      </c>
      <c r="C11" s="13" t="s">
        <v>8</v>
      </c>
      <c r="D11" s="23">
        <v>20835.5</v>
      </c>
      <c r="E11" s="23">
        <f t="shared" si="0"/>
        <v>15626.720000000001</v>
      </c>
      <c r="F11" s="24">
        <v>5208.78</v>
      </c>
      <c r="G11" s="23">
        <f t="shared" si="1"/>
        <v>5208.78</v>
      </c>
      <c r="H11" s="12">
        <f t="shared" si="2"/>
        <v>-1294.2599999999948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45448</v>
      </c>
      <c r="C12" s="13" t="s">
        <v>8</v>
      </c>
      <c r="D12" s="23">
        <v>11111.01</v>
      </c>
      <c r="E12" s="23">
        <f t="shared" si="0"/>
        <v>8333.3100000000013</v>
      </c>
      <c r="F12" s="24">
        <v>2777.7</v>
      </c>
      <c r="G12" s="23">
        <f t="shared" si="1"/>
        <v>2777.7</v>
      </c>
      <c r="H12" s="12">
        <f t="shared" si="2"/>
        <v>-1294.2599999999948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45449</v>
      </c>
      <c r="C13" s="13" t="s">
        <v>8</v>
      </c>
      <c r="D13" s="23">
        <v>10021.76</v>
      </c>
      <c r="E13" s="23">
        <f t="shared" si="0"/>
        <v>7516.39</v>
      </c>
      <c r="F13" s="24">
        <v>2505.37</v>
      </c>
      <c r="G13" s="23">
        <f t="shared" si="1"/>
        <v>2505.37</v>
      </c>
      <c r="H13" s="12">
        <f t="shared" si="2"/>
        <v>-1294.2599999999948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45450</v>
      </c>
      <c r="C14" s="13" t="s">
        <v>8</v>
      </c>
      <c r="D14" s="23">
        <v>9170.51</v>
      </c>
      <c r="E14" s="23">
        <f t="shared" si="0"/>
        <v>6877.93</v>
      </c>
      <c r="F14" s="24">
        <v>2292.58</v>
      </c>
      <c r="G14" s="23">
        <f t="shared" si="1"/>
        <v>2292.58</v>
      </c>
      <c r="H14" s="12">
        <f t="shared" si="2"/>
        <v>-1294.2599999999948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45453</v>
      </c>
      <c r="C15" s="13" t="s">
        <v>8</v>
      </c>
      <c r="D15" s="23">
        <v>9768.08</v>
      </c>
      <c r="E15" s="23">
        <f t="shared" si="0"/>
        <v>7326.09</v>
      </c>
      <c r="F15" s="25">
        <v>2441.9899999999998</v>
      </c>
      <c r="G15" s="23">
        <f t="shared" si="1"/>
        <v>2441.9899999999998</v>
      </c>
      <c r="H15" s="12">
        <f t="shared" si="2"/>
        <v>-1294.2599999999948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45454</v>
      </c>
      <c r="C16" s="13" t="s">
        <v>8</v>
      </c>
      <c r="D16" s="23">
        <v>14647.49</v>
      </c>
      <c r="E16" s="23">
        <f t="shared" si="0"/>
        <v>10985.689999999999</v>
      </c>
      <c r="F16" s="25">
        <v>3661.8</v>
      </c>
      <c r="G16" s="23">
        <f t="shared" si="1"/>
        <v>3661.8</v>
      </c>
      <c r="H16" s="12">
        <f t="shared" si="2"/>
        <v>-1294.2599999999948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45455</v>
      </c>
      <c r="C17" s="13" t="s">
        <v>8</v>
      </c>
      <c r="D17" s="23">
        <v>4161.03</v>
      </c>
      <c r="E17" s="23">
        <f t="shared" si="0"/>
        <v>3120.7999999999997</v>
      </c>
      <c r="F17" s="25">
        <v>1040.23</v>
      </c>
      <c r="G17" s="23">
        <f t="shared" si="1"/>
        <v>1040.23</v>
      </c>
      <c r="H17" s="12">
        <f t="shared" si="2"/>
        <v>-1294.2599999999948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45456</v>
      </c>
      <c r="C18" s="13" t="s">
        <v>8</v>
      </c>
      <c r="D18" s="23">
        <v>3894.52</v>
      </c>
      <c r="E18" s="23">
        <f t="shared" si="0"/>
        <v>2920.93</v>
      </c>
      <c r="F18" s="25">
        <v>973.59</v>
      </c>
      <c r="G18" s="23">
        <f t="shared" si="1"/>
        <v>973.59</v>
      </c>
      <c r="H18" s="12">
        <f t="shared" si="2"/>
        <v>-1294.2599999999948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45457</v>
      </c>
      <c r="C19" s="13" t="s">
        <v>8</v>
      </c>
      <c r="D19" s="23">
        <v>10770.81</v>
      </c>
      <c r="E19" s="23">
        <f t="shared" si="0"/>
        <v>8078.16</v>
      </c>
      <c r="F19" s="25">
        <v>2692.65</v>
      </c>
      <c r="G19" s="23">
        <f t="shared" si="1"/>
        <v>2692.65</v>
      </c>
      <c r="H19" s="12">
        <f t="shared" si="2"/>
        <v>-1294.2599999999948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45460</v>
      </c>
      <c r="C20" s="13" t="s">
        <v>8</v>
      </c>
      <c r="D20" s="23">
        <v>4619.8500000000004</v>
      </c>
      <c r="E20" s="23">
        <f t="shared" si="0"/>
        <v>3464.92</v>
      </c>
      <c r="F20" s="25">
        <v>1154.93</v>
      </c>
      <c r="G20" s="23">
        <f t="shared" si="1"/>
        <v>1154.93</v>
      </c>
      <c r="H20" s="12">
        <f t="shared" si="2"/>
        <v>-1294.2599999999948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45461</v>
      </c>
      <c r="C21" s="13" t="s">
        <v>8</v>
      </c>
      <c r="D21" s="23">
        <v>6862.14</v>
      </c>
      <c r="E21" s="23">
        <f t="shared" si="0"/>
        <v>5146.6500000000005</v>
      </c>
      <c r="F21" s="25">
        <v>1715.49</v>
      </c>
      <c r="G21" s="23">
        <f t="shared" si="1"/>
        <v>1715.49</v>
      </c>
      <c r="H21" s="12">
        <f t="shared" si="2"/>
        <v>-1294.2599999999948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45462</v>
      </c>
      <c r="C22" s="13" t="s">
        <v>8</v>
      </c>
      <c r="D22" s="23">
        <v>3621.02</v>
      </c>
      <c r="E22" s="23">
        <f t="shared" si="0"/>
        <v>2715.77</v>
      </c>
      <c r="F22" s="25">
        <v>905.25</v>
      </c>
      <c r="G22" s="23">
        <f t="shared" si="1"/>
        <v>905.25</v>
      </c>
      <c r="H22" s="12">
        <f t="shared" si="2"/>
        <v>-1294.2599999999948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45463</v>
      </c>
      <c r="C23" s="13" t="s">
        <v>8</v>
      </c>
      <c r="D23" s="23">
        <v>5465.92</v>
      </c>
      <c r="E23" s="23">
        <f t="shared" si="0"/>
        <v>4099.47</v>
      </c>
      <c r="F23" s="25">
        <v>1366.45</v>
      </c>
      <c r="G23" s="23">
        <f t="shared" si="1"/>
        <v>1366.45</v>
      </c>
      <c r="H23" s="12">
        <f t="shared" si="2"/>
        <v>-1294.2599999999948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45464</v>
      </c>
      <c r="C24" s="13" t="s">
        <v>8</v>
      </c>
      <c r="D24" s="23">
        <v>14626.42</v>
      </c>
      <c r="E24" s="23">
        <f t="shared" si="0"/>
        <v>10969.869999999999</v>
      </c>
      <c r="F24" s="25">
        <v>3656.55</v>
      </c>
      <c r="G24" s="23">
        <f t="shared" si="1"/>
        <v>3656.55</v>
      </c>
      <c r="H24" s="12">
        <f t="shared" si="2"/>
        <v>-1294.2599999999948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45467</v>
      </c>
      <c r="C25" s="13" t="s">
        <v>8</v>
      </c>
      <c r="D25" s="23">
        <v>10078.33</v>
      </c>
      <c r="E25" s="23">
        <f t="shared" si="0"/>
        <v>7558.7999999999993</v>
      </c>
      <c r="F25" s="25">
        <v>2519.5300000000002</v>
      </c>
      <c r="G25" s="23">
        <f t="shared" si="1"/>
        <v>2519.5300000000002</v>
      </c>
      <c r="H25" s="12">
        <f t="shared" si="2"/>
        <v>-1294.2599999999948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45468</v>
      </c>
      <c r="C26" s="13" t="s">
        <v>8</v>
      </c>
      <c r="D26" s="23">
        <v>8759.0400000000009</v>
      </c>
      <c r="E26" s="23">
        <f t="shared" si="0"/>
        <v>6569.3300000000008</v>
      </c>
      <c r="F26" s="25">
        <v>2189.71</v>
      </c>
      <c r="G26" s="23">
        <f t="shared" si="1"/>
        <v>2189.71</v>
      </c>
      <c r="H26" s="12">
        <f t="shared" si="2"/>
        <v>-1294.2599999999948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45469</v>
      </c>
      <c r="C27" s="13" t="s">
        <v>8</v>
      </c>
      <c r="D27" s="23">
        <v>7421.03</v>
      </c>
      <c r="E27" s="23">
        <f t="shared" si="0"/>
        <v>5565.84</v>
      </c>
      <c r="F27" s="25">
        <v>1855.19</v>
      </c>
      <c r="G27" s="23">
        <f t="shared" si="1"/>
        <v>1855.19</v>
      </c>
      <c r="H27" s="12">
        <f t="shared" si="2"/>
        <v>-1294.2599999999948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45470</v>
      </c>
      <c r="C28" s="13" t="s">
        <v>8</v>
      </c>
      <c r="D28" s="23">
        <v>5612.26</v>
      </c>
      <c r="E28" s="23">
        <f t="shared" si="0"/>
        <v>4209.25</v>
      </c>
      <c r="F28" s="25">
        <v>1403.01</v>
      </c>
      <c r="G28" s="23">
        <f t="shared" si="1"/>
        <v>1403.01</v>
      </c>
      <c r="H28" s="12">
        <f t="shared" si="2"/>
        <v>-1294.2599999999948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45471</v>
      </c>
      <c r="C29" s="13" t="s">
        <v>8</v>
      </c>
      <c r="D29" s="23">
        <v>11166.69</v>
      </c>
      <c r="E29" s="23">
        <f>D29-F29</f>
        <v>8375.0600000000013</v>
      </c>
      <c r="F29" s="25">
        <v>2791.63</v>
      </c>
      <c r="G29" s="23">
        <f>F29</f>
        <v>2791.63</v>
      </c>
      <c r="H29" s="12">
        <f>H28+F29-G29</f>
        <v>-1294.2599999999948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45474</v>
      </c>
      <c r="C30" s="13" t="s">
        <v>8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-1294.2599999999948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45475</v>
      </c>
      <c r="C31" s="13" t="s">
        <v>8</v>
      </c>
      <c r="D31" s="23">
        <v>0</v>
      </c>
      <c r="E31" s="23">
        <f t="shared" si="0"/>
        <v>0</v>
      </c>
      <c r="F31" s="25">
        <v>0</v>
      </c>
      <c r="G31" s="23">
        <f t="shared" si="4"/>
        <v>0</v>
      </c>
      <c r="H31" s="12">
        <f t="shared" si="5"/>
        <v>-1294.2599999999948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45471</v>
      </c>
      <c r="C32" s="13" t="s">
        <v>11</v>
      </c>
      <c r="D32" s="23">
        <v>21187.97</v>
      </c>
      <c r="E32" s="23">
        <f>D32-F32</f>
        <v>15890.980000000001</v>
      </c>
      <c r="F32" s="25">
        <v>5296.99</v>
      </c>
      <c r="G32" s="23">
        <v>0</v>
      </c>
      <c r="H32" s="12">
        <f>H31+F32-G32</f>
        <v>4002.730000000005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6"/>
      <c r="B33" s="22"/>
      <c r="C33" s="27"/>
      <c r="D33" s="23"/>
      <c r="E33" s="23"/>
      <c r="F33" s="25"/>
      <c r="G33" s="23"/>
      <c r="H33" s="12">
        <f t="shared" si="2"/>
        <v>4002.730000000005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6"/>
      <c r="B34" s="22"/>
      <c r="C34" s="27"/>
      <c r="D34" s="33"/>
      <c r="E34" s="28"/>
      <c r="F34" s="33"/>
      <c r="G34" s="23"/>
      <c r="H34" s="12">
        <f>H33+F34-G34</f>
        <v>4002.730000000005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6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4002.730000000005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4002.730000000005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4002.730000000005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4002.730000000005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500988.22000000009</v>
      </c>
      <c r="E39" s="20">
        <f>SUM(E10:E38)</f>
        <v>375743.65</v>
      </c>
      <c r="F39" s="20">
        <f>SUM(F10:F38)</f>
        <v>125244.56999999999</v>
      </c>
      <c r="G39" s="14">
        <f>SUM(G10:G32)</f>
        <v>119947.57999999999</v>
      </c>
      <c r="H39" s="12">
        <f>+H38</f>
        <v>4002.730000000005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2" t="s">
        <v>10</v>
      </c>
      <c r="C40" s="53"/>
      <c r="D40" s="53"/>
      <c r="E40" s="53"/>
      <c r="F40" s="53"/>
      <c r="G40" s="53"/>
      <c r="H40" s="54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1" t="s">
        <v>51</v>
      </c>
      <c r="C41" s="42"/>
      <c r="D41" s="42"/>
      <c r="E41" s="42"/>
      <c r="F41" s="42"/>
      <c r="G41" s="42"/>
      <c r="H41" s="43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55" t="s">
        <v>50</v>
      </c>
      <c r="C42" s="42"/>
      <c r="D42" s="42"/>
      <c r="E42" s="42"/>
      <c r="F42" s="42"/>
      <c r="G42" s="42"/>
      <c r="H42" s="43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29"/>
      <c r="B43" s="55"/>
      <c r="C43" s="42"/>
      <c r="D43" s="42"/>
      <c r="E43" s="42"/>
      <c r="F43" s="42"/>
      <c r="G43" s="42"/>
      <c r="H43" s="43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29"/>
      <c r="B44" s="55"/>
      <c r="C44" s="56"/>
      <c r="D44" s="56"/>
      <c r="E44" s="56"/>
      <c r="F44" s="56"/>
      <c r="G44" s="56"/>
      <c r="H44" s="57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44"/>
      <c r="C45" s="45"/>
      <c r="D45" s="45"/>
      <c r="E45" s="45"/>
      <c r="F45" s="45"/>
      <c r="G45" s="45"/>
      <c r="H45" s="46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6"/>
  <sheetViews>
    <sheetView topLeftCell="A19" zoomScale="120" zoomScaleNormal="120" workbookViewId="0">
      <selection activeCell="H46" sqref="H4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52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58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53</v>
      </c>
      <c r="C9" s="51"/>
      <c r="D9" s="51"/>
      <c r="E9" s="51"/>
      <c r="F9" s="51"/>
      <c r="G9" s="51"/>
      <c r="H9" s="12">
        <v>4002.73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45474</v>
      </c>
      <c r="C10" s="13" t="s">
        <v>8</v>
      </c>
      <c r="D10" s="23">
        <v>10194.09</v>
      </c>
      <c r="E10" s="23">
        <f t="shared" ref="E10:E35" si="0">D10-F10</f>
        <v>7645.6200000000008</v>
      </c>
      <c r="F10" s="23">
        <v>2548.4699999999998</v>
      </c>
      <c r="G10" s="23">
        <f t="shared" ref="G10:G35" si="1">F10</f>
        <v>2548.4699999999998</v>
      </c>
      <c r="H10" s="12">
        <f t="shared" ref="H10:H28" si="2">H9+F10-G10</f>
        <v>4002.73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45475</v>
      </c>
      <c r="C11" s="13" t="s">
        <v>8</v>
      </c>
      <c r="D11" s="23">
        <v>20685.54</v>
      </c>
      <c r="E11" s="23">
        <f t="shared" si="0"/>
        <v>15514.310000000001</v>
      </c>
      <c r="F11" s="24">
        <v>5171.2299999999996</v>
      </c>
      <c r="G11" s="23">
        <f t="shared" si="1"/>
        <v>5171.2299999999996</v>
      </c>
      <c r="H11" s="12">
        <f t="shared" si="2"/>
        <v>4002.7299999999996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45476</v>
      </c>
      <c r="C12" s="13" t="s">
        <v>8</v>
      </c>
      <c r="D12" s="23">
        <v>5064.1400000000003</v>
      </c>
      <c r="E12" s="23">
        <f t="shared" si="0"/>
        <v>3798.13</v>
      </c>
      <c r="F12" s="24">
        <v>1266.01</v>
      </c>
      <c r="G12" s="23">
        <f t="shared" si="1"/>
        <v>1266.01</v>
      </c>
      <c r="H12" s="12">
        <f t="shared" si="2"/>
        <v>4002.7299999999996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45477</v>
      </c>
      <c r="C13" s="13" t="s">
        <v>8</v>
      </c>
      <c r="D13" s="23">
        <v>4551.37</v>
      </c>
      <c r="E13" s="23">
        <f t="shared" si="0"/>
        <v>3413.58</v>
      </c>
      <c r="F13" s="24">
        <v>1137.79</v>
      </c>
      <c r="G13" s="23">
        <f t="shared" si="1"/>
        <v>1137.79</v>
      </c>
      <c r="H13" s="12">
        <f t="shared" si="2"/>
        <v>4002.7299999999996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45478</v>
      </c>
      <c r="C14" s="13" t="s">
        <v>8</v>
      </c>
      <c r="D14" s="23">
        <v>6171.1</v>
      </c>
      <c r="E14" s="23">
        <f t="shared" si="0"/>
        <v>4628.3700000000008</v>
      </c>
      <c r="F14" s="24">
        <v>1542.73</v>
      </c>
      <c r="G14" s="23">
        <f t="shared" si="1"/>
        <v>1542.73</v>
      </c>
      <c r="H14" s="12">
        <f t="shared" si="2"/>
        <v>4002.7299999999991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45481</v>
      </c>
      <c r="C15" s="13" t="s">
        <v>8</v>
      </c>
      <c r="D15" s="23">
        <v>7828.79</v>
      </c>
      <c r="E15" s="23">
        <f t="shared" si="0"/>
        <v>5871.6399999999994</v>
      </c>
      <c r="F15" s="25">
        <v>1957.15</v>
      </c>
      <c r="G15" s="23">
        <f t="shared" si="1"/>
        <v>1957.15</v>
      </c>
      <c r="H15" s="12">
        <f t="shared" si="2"/>
        <v>4002.7299999999991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45482</v>
      </c>
      <c r="C16" s="13" t="s">
        <v>8</v>
      </c>
      <c r="D16" s="23">
        <v>8343.85</v>
      </c>
      <c r="E16" s="23">
        <f t="shared" si="0"/>
        <v>6257.97</v>
      </c>
      <c r="F16" s="25">
        <v>2085.88</v>
      </c>
      <c r="G16" s="23">
        <f t="shared" si="1"/>
        <v>2085.88</v>
      </c>
      <c r="H16" s="12">
        <f t="shared" si="2"/>
        <v>4002.7299999999987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45483</v>
      </c>
      <c r="C17" s="13" t="s">
        <v>8</v>
      </c>
      <c r="D17" s="23">
        <v>6219.42</v>
      </c>
      <c r="E17" s="23">
        <f t="shared" si="0"/>
        <v>4664.6100000000006</v>
      </c>
      <c r="F17" s="25">
        <v>1554.81</v>
      </c>
      <c r="G17" s="23">
        <f t="shared" si="1"/>
        <v>1554.81</v>
      </c>
      <c r="H17" s="12">
        <f t="shared" si="2"/>
        <v>4002.7299999999991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45484</v>
      </c>
      <c r="C18" s="13" t="s">
        <v>8</v>
      </c>
      <c r="D18" s="23">
        <v>15225.02</v>
      </c>
      <c r="E18" s="23">
        <f t="shared" si="0"/>
        <v>11418.86</v>
      </c>
      <c r="F18" s="25">
        <v>3806.16</v>
      </c>
      <c r="G18" s="23">
        <f t="shared" si="1"/>
        <v>3806.16</v>
      </c>
      <c r="H18" s="12">
        <f t="shared" si="2"/>
        <v>4002.7299999999996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45485</v>
      </c>
      <c r="C19" s="13" t="s">
        <v>8</v>
      </c>
      <c r="D19" s="23">
        <v>4509.82</v>
      </c>
      <c r="E19" s="23">
        <f t="shared" si="0"/>
        <v>3382.4199999999996</v>
      </c>
      <c r="F19" s="25">
        <v>1127.4000000000001</v>
      </c>
      <c r="G19" s="23">
        <f t="shared" si="1"/>
        <v>1127.4000000000001</v>
      </c>
      <c r="H19" s="12">
        <f t="shared" si="2"/>
        <v>4002.7299999999991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45488</v>
      </c>
      <c r="C20" s="13" t="s">
        <v>8</v>
      </c>
      <c r="D20" s="23">
        <v>3817.2</v>
      </c>
      <c r="E20" s="23">
        <f t="shared" si="0"/>
        <v>2862.95</v>
      </c>
      <c r="F20" s="25">
        <v>954.25</v>
      </c>
      <c r="G20" s="23">
        <f t="shared" si="1"/>
        <v>954.25</v>
      </c>
      <c r="H20" s="12">
        <f t="shared" si="2"/>
        <v>4002.7299999999996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45489</v>
      </c>
      <c r="C21" s="13" t="s">
        <v>8</v>
      </c>
      <c r="D21" s="23">
        <v>13460.92</v>
      </c>
      <c r="E21" s="23">
        <f t="shared" si="0"/>
        <v>10095.74</v>
      </c>
      <c r="F21" s="25">
        <v>3365.18</v>
      </c>
      <c r="G21" s="23">
        <f t="shared" si="1"/>
        <v>3365.18</v>
      </c>
      <c r="H21" s="12">
        <f t="shared" si="2"/>
        <v>4002.73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45490</v>
      </c>
      <c r="C22" s="13" t="s">
        <v>8</v>
      </c>
      <c r="D22" s="23">
        <v>10329.99</v>
      </c>
      <c r="E22" s="23">
        <f t="shared" si="0"/>
        <v>7747.52</v>
      </c>
      <c r="F22" s="25">
        <v>2582.4699999999998</v>
      </c>
      <c r="G22" s="23">
        <f t="shared" si="1"/>
        <v>2582.4699999999998</v>
      </c>
      <c r="H22" s="12">
        <f t="shared" si="2"/>
        <v>4002.73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45491</v>
      </c>
      <c r="C23" s="13" t="s">
        <v>8</v>
      </c>
      <c r="D23" s="23">
        <v>5315.77</v>
      </c>
      <c r="E23" s="23">
        <f t="shared" si="0"/>
        <v>3986.8500000000004</v>
      </c>
      <c r="F23" s="25">
        <v>1328.92</v>
      </c>
      <c r="G23" s="23">
        <f t="shared" si="1"/>
        <v>1328.92</v>
      </c>
      <c r="H23" s="12">
        <f t="shared" si="2"/>
        <v>4002.7299999999996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45492</v>
      </c>
      <c r="C24" s="13" t="s">
        <v>8</v>
      </c>
      <c r="D24" s="23">
        <v>7108.74</v>
      </c>
      <c r="E24" s="23">
        <f t="shared" si="0"/>
        <v>5331.58</v>
      </c>
      <c r="F24" s="25">
        <v>1777.16</v>
      </c>
      <c r="G24" s="23">
        <f t="shared" si="1"/>
        <v>1777.16</v>
      </c>
      <c r="H24" s="12">
        <f t="shared" si="2"/>
        <v>4002.7299999999996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45495</v>
      </c>
      <c r="C25" s="13" t="s">
        <v>8</v>
      </c>
      <c r="D25" s="23">
        <v>4264.8</v>
      </c>
      <c r="E25" s="23">
        <f t="shared" si="0"/>
        <v>3198.63</v>
      </c>
      <c r="F25" s="25">
        <v>1066.17</v>
      </c>
      <c r="G25" s="23">
        <f t="shared" si="1"/>
        <v>1066.17</v>
      </c>
      <c r="H25" s="12">
        <f t="shared" si="2"/>
        <v>4002.7299999999996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45496</v>
      </c>
      <c r="C26" s="13" t="s">
        <v>8</v>
      </c>
      <c r="D26" s="23">
        <v>2836.55</v>
      </c>
      <c r="E26" s="23">
        <f t="shared" si="0"/>
        <v>2127.42</v>
      </c>
      <c r="F26" s="25">
        <v>709.13</v>
      </c>
      <c r="G26" s="23">
        <f t="shared" si="1"/>
        <v>709.13</v>
      </c>
      <c r="H26" s="12">
        <f t="shared" si="2"/>
        <v>4002.7299999999996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45497</v>
      </c>
      <c r="C27" s="13" t="s">
        <v>8</v>
      </c>
      <c r="D27" s="23">
        <v>3777.19</v>
      </c>
      <c r="E27" s="23">
        <f t="shared" si="0"/>
        <v>2832.92</v>
      </c>
      <c r="F27" s="25">
        <v>944.27</v>
      </c>
      <c r="G27" s="23">
        <f t="shared" si="1"/>
        <v>944.27</v>
      </c>
      <c r="H27" s="12">
        <f t="shared" si="2"/>
        <v>4002.73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45498</v>
      </c>
      <c r="C28" s="13" t="s">
        <v>8</v>
      </c>
      <c r="D28" s="23">
        <v>1902.84</v>
      </c>
      <c r="E28" s="23">
        <f t="shared" si="0"/>
        <v>1427.1399999999999</v>
      </c>
      <c r="F28" s="25">
        <v>475.7</v>
      </c>
      <c r="G28" s="23">
        <f t="shared" si="1"/>
        <v>475.7</v>
      </c>
      <c r="H28" s="12">
        <f t="shared" si="2"/>
        <v>4002.7300000000005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45499</v>
      </c>
      <c r="C29" s="13" t="s">
        <v>8</v>
      </c>
      <c r="D29" s="23">
        <v>2611.7199999999998</v>
      </c>
      <c r="E29" s="23">
        <f>D29-F29</f>
        <v>1958.81</v>
      </c>
      <c r="F29" s="25">
        <v>652.91</v>
      </c>
      <c r="G29" s="23">
        <f>F29</f>
        <v>652.91</v>
      </c>
      <c r="H29" s="12">
        <f>H28+F29-G29</f>
        <v>4002.7300000000005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45502</v>
      </c>
      <c r="C30" s="13" t="s">
        <v>8</v>
      </c>
      <c r="D30" s="23">
        <v>3069.73</v>
      </c>
      <c r="E30" s="23">
        <f t="shared" si="0"/>
        <v>2302.31</v>
      </c>
      <c r="F30" s="25">
        <v>767.42</v>
      </c>
      <c r="G30" s="23">
        <f t="shared" ref="G30:G31" si="4">F30</f>
        <v>767.42</v>
      </c>
      <c r="H30" s="12">
        <f t="shared" ref="H30:H31" si="5">H29+F30-G30</f>
        <v>4002.7300000000005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45503</v>
      </c>
      <c r="C31" s="13" t="s">
        <v>8</v>
      </c>
      <c r="D31" s="23">
        <v>16881.349999999999</v>
      </c>
      <c r="E31" s="23">
        <f t="shared" si="0"/>
        <v>12661.089999999998</v>
      </c>
      <c r="F31" s="25">
        <v>4220.26</v>
      </c>
      <c r="G31" s="23">
        <f t="shared" si="4"/>
        <v>4220.26</v>
      </c>
      <c r="H31" s="12">
        <f t="shared" si="5"/>
        <v>4002.7300000000014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3"/>
        <v>45504</v>
      </c>
      <c r="C32" s="13" t="s">
        <v>8</v>
      </c>
      <c r="D32" s="23">
        <v>24039.69</v>
      </c>
      <c r="E32" s="23">
        <f t="shared" ref="E32:E34" si="6">D32-F32</f>
        <v>18029.96</v>
      </c>
      <c r="F32" s="25">
        <v>6009.73</v>
      </c>
      <c r="G32" s="23">
        <f t="shared" ref="G32" si="7">F32</f>
        <v>6009.73</v>
      </c>
      <c r="H32" s="12">
        <f t="shared" ref="H32" si="8">H31+F32-G32</f>
        <v>4002.7300000000014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45491</v>
      </c>
      <c r="C33" s="27" t="s">
        <v>11</v>
      </c>
      <c r="D33" s="23">
        <v>0</v>
      </c>
      <c r="E33" s="23">
        <f t="shared" si="6"/>
        <v>0</v>
      </c>
      <c r="F33" s="25">
        <v>0</v>
      </c>
      <c r="G33" s="23">
        <v>4002.73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45504</v>
      </c>
      <c r="C34" s="27" t="s">
        <v>11</v>
      </c>
      <c r="D34" s="23">
        <v>23978.77</v>
      </c>
      <c r="E34" s="23">
        <f t="shared" si="6"/>
        <v>17984.080000000002</v>
      </c>
      <c r="F34" s="25">
        <v>5994.69</v>
      </c>
      <c r="G34" s="23">
        <v>0</v>
      </c>
      <c r="H34" s="12">
        <f>H33+F34-G34</f>
        <v>5994.69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9">D35*25%</f>
        <v>0</v>
      </c>
      <c r="G35" s="23">
        <f t="shared" si="1"/>
        <v>0</v>
      </c>
      <c r="H35" s="12">
        <f>H34+F35-G35</f>
        <v>5994.69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212188.40000000002</v>
      </c>
      <c r="E36" s="20">
        <f>SUM(E10:E35)</f>
        <v>159142.51</v>
      </c>
      <c r="F36" s="20">
        <f>SUM(F10:F35)</f>
        <v>53045.89</v>
      </c>
      <c r="G36" s="14">
        <f>SUM(G10:G35)</f>
        <v>51053.93</v>
      </c>
      <c r="H36" s="12">
        <f>+H35</f>
        <v>5994.69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2" t="s">
        <v>10</v>
      </c>
      <c r="C37" s="53"/>
      <c r="D37" s="53"/>
      <c r="E37" s="53"/>
      <c r="F37" s="53"/>
      <c r="G37" s="53"/>
      <c r="H37" s="54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1" t="s">
        <v>54</v>
      </c>
      <c r="C38" s="42"/>
      <c r="D38" s="42"/>
      <c r="E38" s="42"/>
      <c r="F38" s="42"/>
      <c r="G38" s="42"/>
      <c r="H38" s="4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5" t="s">
        <v>55</v>
      </c>
      <c r="C39" s="59"/>
      <c r="D39" s="59"/>
      <c r="E39" s="59"/>
      <c r="F39" s="59"/>
      <c r="G39" s="59"/>
      <c r="H39" s="43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5" t="s">
        <v>56</v>
      </c>
      <c r="C40" s="42"/>
      <c r="D40" s="42"/>
      <c r="E40" s="42"/>
      <c r="F40" s="42"/>
      <c r="G40" s="42"/>
      <c r="H40" s="4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5"/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4"/>
      <c r="C42" s="45"/>
      <c r="D42" s="45"/>
      <c r="E42" s="45"/>
      <c r="F42" s="45"/>
      <c r="G42" s="45"/>
      <c r="H42" s="46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6"/>
  <sheetViews>
    <sheetView topLeftCell="A19" zoomScale="124" zoomScaleNormal="124" workbookViewId="0">
      <selection activeCell="H33" sqref="H3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59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61</v>
      </c>
      <c r="C9" s="51"/>
      <c r="D9" s="51"/>
      <c r="E9" s="51"/>
      <c r="F9" s="51"/>
      <c r="G9" s="51"/>
      <c r="H9" s="12">
        <v>5994.69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45505</v>
      </c>
      <c r="C10" s="13" t="s">
        <v>8</v>
      </c>
      <c r="D10" s="23">
        <v>9815.69</v>
      </c>
      <c r="E10" s="23">
        <f t="shared" ref="E10:E35" si="0">D10-F10</f>
        <v>7361.84</v>
      </c>
      <c r="F10" s="23">
        <v>2453.85</v>
      </c>
      <c r="G10" s="23">
        <f t="shared" ref="G10:G35" si="1">F10</f>
        <v>2453.85</v>
      </c>
      <c r="H10" s="12">
        <f t="shared" ref="H10:H28" si="2">H9+F10-G10</f>
        <v>5994.6899999999987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45506</v>
      </c>
      <c r="C11" s="13" t="s">
        <v>8</v>
      </c>
      <c r="D11" s="23">
        <v>6487.15</v>
      </c>
      <c r="E11" s="23">
        <f t="shared" si="0"/>
        <v>4865.3899999999994</v>
      </c>
      <c r="F11" s="24">
        <v>1621.76</v>
      </c>
      <c r="G11" s="23">
        <f t="shared" si="1"/>
        <v>1621.76</v>
      </c>
      <c r="H11" s="12">
        <f t="shared" si="2"/>
        <v>5994.6899999999987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45509</v>
      </c>
      <c r="C12" s="13" t="s">
        <v>8</v>
      </c>
      <c r="D12" s="23">
        <v>5896.99</v>
      </c>
      <c r="E12" s="23">
        <f t="shared" si="0"/>
        <v>4422.79</v>
      </c>
      <c r="F12" s="24">
        <v>1474.2</v>
      </c>
      <c r="G12" s="23">
        <f t="shared" si="1"/>
        <v>1474.2</v>
      </c>
      <c r="H12" s="12">
        <f t="shared" si="2"/>
        <v>5994.6899999999987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45510</v>
      </c>
      <c r="C13" s="13" t="s">
        <v>8</v>
      </c>
      <c r="D13" s="23">
        <v>7785.54</v>
      </c>
      <c r="E13" s="23">
        <f t="shared" si="0"/>
        <v>5839.1900000000005</v>
      </c>
      <c r="F13" s="24">
        <v>1946.35</v>
      </c>
      <c r="G13" s="23">
        <f t="shared" si="1"/>
        <v>1946.35</v>
      </c>
      <c r="H13" s="12">
        <f t="shared" si="2"/>
        <v>5994.6899999999987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45511</v>
      </c>
      <c r="C14" s="13" t="s">
        <v>8</v>
      </c>
      <c r="D14" s="23">
        <v>5672.21</v>
      </c>
      <c r="E14" s="23">
        <f t="shared" si="0"/>
        <v>4254.1900000000005</v>
      </c>
      <c r="F14" s="24">
        <v>1418.02</v>
      </c>
      <c r="G14" s="23">
        <f t="shared" si="1"/>
        <v>1418.02</v>
      </c>
      <c r="H14" s="12">
        <f t="shared" si="2"/>
        <v>5994.6899999999987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45512</v>
      </c>
      <c r="C15" s="13" t="s">
        <v>8</v>
      </c>
      <c r="D15" s="23">
        <v>1705.24</v>
      </c>
      <c r="E15" s="23">
        <f t="shared" si="0"/>
        <v>1278.94</v>
      </c>
      <c r="F15" s="25">
        <v>426.3</v>
      </c>
      <c r="G15" s="23">
        <f t="shared" si="1"/>
        <v>426.3</v>
      </c>
      <c r="H15" s="12">
        <f t="shared" si="2"/>
        <v>5994.6899999999987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45513</v>
      </c>
      <c r="C16" s="13" t="s">
        <v>8</v>
      </c>
      <c r="D16" s="23">
        <v>6597.34</v>
      </c>
      <c r="E16" s="23">
        <f t="shared" si="0"/>
        <v>4948.04</v>
      </c>
      <c r="F16" s="25">
        <v>1649.3</v>
      </c>
      <c r="G16" s="23">
        <f t="shared" si="1"/>
        <v>1649.3</v>
      </c>
      <c r="H16" s="12">
        <f t="shared" si="2"/>
        <v>5994.6899999999987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45516</v>
      </c>
      <c r="C17" s="13" t="s">
        <v>8</v>
      </c>
      <c r="D17" s="23">
        <v>8646.32</v>
      </c>
      <c r="E17" s="23">
        <f t="shared" si="0"/>
        <v>6484.76</v>
      </c>
      <c r="F17" s="25">
        <v>2161.56</v>
      </c>
      <c r="G17" s="23">
        <f t="shared" si="1"/>
        <v>2161.56</v>
      </c>
      <c r="H17" s="12">
        <f t="shared" si="2"/>
        <v>5994.6899999999987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45517</v>
      </c>
      <c r="C18" s="13" t="s">
        <v>8</v>
      </c>
      <c r="D18" s="23">
        <v>8541.4</v>
      </c>
      <c r="E18" s="23">
        <f t="shared" si="0"/>
        <v>6406.11</v>
      </c>
      <c r="F18" s="25">
        <v>2135.29</v>
      </c>
      <c r="G18" s="23">
        <f t="shared" si="1"/>
        <v>2135.29</v>
      </c>
      <c r="H18" s="12">
        <f t="shared" si="2"/>
        <v>5994.6899999999987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45518</v>
      </c>
      <c r="C19" s="13" t="s">
        <v>8</v>
      </c>
      <c r="D19" s="23">
        <v>9905.11</v>
      </c>
      <c r="E19" s="23">
        <f t="shared" si="0"/>
        <v>7428.8600000000006</v>
      </c>
      <c r="F19" s="25">
        <v>2476.25</v>
      </c>
      <c r="G19" s="23">
        <f t="shared" si="1"/>
        <v>2476.25</v>
      </c>
      <c r="H19" s="12">
        <f t="shared" si="2"/>
        <v>5994.6899999999987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45519</v>
      </c>
      <c r="C20" s="13" t="s">
        <v>8</v>
      </c>
      <c r="D20" s="23">
        <v>9417.84</v>
      </c>
      <c r="E20" s="23">
        <f t="shared" si="0"/>
        <v>7063.41</v>
      </c>
      <c r="F20" s="25">
        <v>2354.4299999999998</v>
      </c>
      <c r="G20" s="23">
        <f t="shared" si="1"/>
        <v>2354.4299999999998</v>
      </c>
      <c r="H20" s="12">
        <f t="shared" si="2"/>
        <v>5994.6899999999987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45520</v>
      </c>
      <c r="C21" s="13" t="s">
        <v>8</v>
      </c>
      <c r="D21" s="23">
        <v>11309.85</v>
      </c>
      <c r="E21" s="23">
        <f t="shared" si="0"/>
        <v>8482.4000000000015</v>
      </c>
      <c r="F21" s="25">
        <v>2827.45</v>
      </c>
      <c r="G21" s="23">
        <f t="shared" si="1"/>
        <v>2827.45</v>
      </c>
      <c r="H21" s="12">
        <f t="shared" si="2"/>
        <v>5994.69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45523</v>
      </c>
      <c r="C22" s="13" t="s">
        <v>8</v>
      </c>
      <c r="D22" s="23">
        <v>6838.89</v>
      </c>
      <c r="E22" s="23">
        <f t="shared" si="0"/>
        <v>5129.1900000000005</v>
      </c>
      <c r="F22" s="25">
        <v>1709.7</v>
      </c>
      <c r="G22" s="23">
        <f t="shared" si="1"/>
        <v>1709.7</v>
      </c>
      <c r="H22" s="12">
        <f t="shared" si="2"/>
        <v>5994.69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45524</v>
      </c>
      <c r="C23" s="13" t="s">
        <v>8</v>
      </c>
      <c r="D23" s="23">
        <v>5339.59</v>
      </c>
      <c r="E23" s="23">
        <f t="shared" si="0"/>
        <v>4004.7200000000003</v>
      </c>
      <c r="F23" s="25">
        <v>1334.87</v>
      </c>
      <c r="G23" s="23">
        <f t="shared" si="1"/>
        <v>1334.87</v>
      </c>
      <c r="H23" s="12">
        <f t="shared" si="2"/>
        <v>5994.69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45525</v>
      </c>
      <c r="C24" s="13" t="s">
        <v>8</v>
      </c>
      <c r="D24" s="23">
        <v>1892.71</v>
      </c>
      <c r="E24" s="23">
        <f t="shared" si="0"/>
        <v>1419.54</v>
      </c>
      <c r="F24" s="25">
        <v>473.17</v>
      </c>
      <c r="G24" s="23">
        <f t="shared" si="1"/>
        <v>473.17</v>
      </c>
      <c r="H24" s="12">
        <f t="shared" si="2"/>
        <v>5994.69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45526</v>
      </c>
      <c r="C25" s="13" t="s">
        <v>8</v>
      </c>
      <c r="D25" s="23">
        <v>4099.04</v>
      </c>
      <c r="E25" s="23">
        <f t="shared" si="0"/>
        <v>3074.29</v>
      </c>
      <c r="F25" s="25">
        <v>1024.75</v>
      </c>
      <c r="G25" s="23">
        <f t="shared" si="1"/>
        <v>1024.75</v>
      </c>
      <c r="H25" s="12">
        <f t="shared" si="2"/>
        <v>5994.69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45527</v>
      </c>
      <c r="C26" s="13" t="s">
        <v>8</v>
      </c>
      <c r="D26" s="23">
        <v>3299.59</v>
      </c>
      <c r="E26" s="23">
        <f t="shared" si="0"/>
        <v>2474.71</v>
      </c>
      <c r="F26" s="25">
        <v>824.88</v>
      </c>
      <c r="G26" s="23">
        <f t="shared" si="1"/>
        <v>824.88</v>
      </c>
      <c r="H26" s="12">
        <f t="shared" si="2"/>
        <v>5994.69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45530</v>
      </c>
      <c r="C27" s="13" t="s">
        <v>8</v>
      </c>
      <c r="D27" s="23">
        <v>2169.46</v>
      </c>
      <c r="E27" s="23">
        <f t="shared" si="0"/>
        <v>1627.1</v>
      </c>
      <c r="F27" s="25">
        <v>542.36</v>
      </c>
      <c r="G27" s="23">
        <f t="shared" si="1"/>
        <v>542.36</v>
      </c>
      <c r="H27" s="12">
        <f t="shared" si="2"/>
        <v>5994.69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45531</v>
      </c>
      <c r="C28" s="13" t="s">
        <v>8</v>
      </c>
      <c r="D28" s="23">
        <v>10350.89</v>
      </c>
      <c r="E28" s="23">
        <f t="shared" si="0"/>
        <v>7763.2199999999993</v>
      </c>
      <c r="F28" s="25">
        <v>2587.67</v>
      </c>
      <c r="G28" s="23">
        <f t="shared" si="1"/>
        <v>2587.67</v>
      </c>
      <c r="H28" s="12">
        <f t="shared" si="2"/>
        <v>5994.6900000000005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45532</v>
      </c>
      <c r="C29" s="13" t="s">
        <v>8</v>
      </c>
      <c r="D29" s="23">
        <v>6589.03</v>
      </c>
      <c r="E29" s="23">
        <f>D29-F29</f>
        <v>4941.83</v>
      </c>
      <c r="F29" s="25">
        <v>1647.2</v>
      </c>
      <c r="G29" s="23">
        <f>F29</f>
        <v>1647.2</v>
      </c>
      <c r="H29" s="12">
        <f>H28+F29-G29</f>
        <v>5994.6900000000005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45533</v>
      </c>
      <c r="C30" s="13" t="s">
        <v>8</v>
      </c>
      <c r="D30" s="23">
        <v>10440.73</v>
      </c>
      <c r="E30" s="23">
        <f t="shared" si="0"/>
        <v>7830.5999999999995</v>
      </c>
      <c r="F30" s="25">
        <v>2610.13</v>
      </c>
      <c r="G30" s="23">
        <f t="shared" ref="G30:G32" si="4">F30</f>
        <v>2610.13</v>
      </c>
      <c r="H30" s="12">
        <f t="shared" ref="H30:H32" si="5">H29+F30-G30</f>
        <v>5994.69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45534</v>
      </c>
      <c r="C31" s="13" t="s">
        <v>8</v>
      </c>
      <c r="D31" s="23">
        <v>14365.4</v>
      </c>
      <c r="E31" s="23">
        <f t="shared" si="0"/>
        <v>10774.11</v>
      </c>
      <c r="F31" s="25">
        <v>3591.29</v>
      </c>
      <c r="G31" s="23">
        <f t="shared" si="4"/>
        <v>3591.29</v>
      </c>
      <c r="H31" s="12">
        <f t="shared" si="5"/>
        <v>5994.69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3"/>
        <v>45537</v>
      </c>
      <c r="C32" s="13" t="s">
        <v>8</v>
      </c>
      <c r="D32" s="23">
        <v>0</v>
      </c>
      <c r="E32" s="23">
        <f t="shared" si="0"/>
        <v>0</v>
      </c>
      <c r="F32" s="25">
        <v>0</v>
      </c>
      <c r="G32" s="23">
        <f t="shared" si="4"/>
        <v>0</v>
      </c>
      <c r="H32" s="12">
        <f t="shared" si="5"/>
        <v>5994.69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45523</v>
      </c>
      <c r="C33" s="27" t="s">
        <v>11</v>
      </c>
      <c r="D33" s="23">
        <v>0</v>
      </c>
      <c r="E33" s="23">
        <f t="shared" si="0"/>
        <v>0</v>
      </c>
      <c r="F33" s="25">
        <v>0</v>
      </c>
      <c r="G33" s="23">
        <v>5994.69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45535</v>
      </c>
      <c r="C34" s="27" t="s">
        <v>11</v>
      </c>
      <c r="D34" s="23">
        <v>9739.14</v>
      </c>
      <c r="E34" s="23">
        <f>D34-F34</f>
        <v>7304.3499999999995</v>
      </c>
      <c r="F34" s="25">
        <v>2434.79</v>
      </c>
      <c r="G34" s="23">
        <v>0</v>
      </c>
      <c r="H34" s="12">
        <f>H33+F34-G34</f>
        <v>2434.79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6">D35*25%</f>
        <v>0</v>
      </c>
      <c r="G35" s="23">
        <f t="shared" si="1"/>
        <v>0</v>
      </c>
      <c r="H35" s="12">
        <f>H34+F35-G35</f>
        <v>2434.79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166905.15000000002</v>
      </c>
      <c r="E36" s="20">
        <f>SUM(E10:E35)</f>
        <v>125179.58000000003</v>
      </c>
      <c r="F36" s="20">
        <f>SUM(F10:F35)</f>
        <v>41725.569999999992</v>
      </c>
      <c r="G36" s="14">
        <f>SUM(G10:G35)</f>
        <v>45285.469999999994</v>
      </c>
      <c r="H36" s="12">
        <f>+H35</f>
        <v>2434.79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2" t="s">
        <v>10</v>
      </c>
      <c r="C37" s="53"/>
      <c r="D37" s="53"/>
      <c r="E37" s="53"/>
      <c r="F37" s="53"/>
      <c r="G37" s="53"/>
      <c r="H37" s="54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1" t="s">
        <v>62</v>
      </c>
      <c r="C38" s="42"/>
      <c r="D38" s="42"/>
      <c r="E38" s="42"/>
      <c r="F38" s="42"/>
      <c r="G38" s="42"/>
      <c r="H38" s="4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5" t="s">
        <v>63</v>
      </c>
      <c r="C39" s="59"/>
      <c r="D39" s="59"/>
      <c r="E39" s="59"/>
      <c r="F39" s="59"/>
      <c r="G39" s="59"/>
      <c r="H39" s="43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5" t="s">
        <v>64</v>
      </c>
      <c r="C40" s="42"/>
      <c r="D40" s="42"/>
      <c r="E40" s="42"/>
      <c r="F40" s="42"/>
      <c r="G40" s="42"/>
      <c r="H40" s="4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5"/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4"/>
      <c r="C42" s="45"/>
      <c r="D42" s="45"/>
      <c r="E42" s="45"/>
      <c r="F42" s="45"/>
      <c r="G42" s="45"/>
      <c r="H42" s="46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6"/>
  <sheetViews>
    <sheetView topLeftCell="A13" zoomScale="124" zoomScaleNormal="124" workbookViewId="0">
      <selection activeCell="H36" sqref="H3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70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66</v>
      </c>
      <c r="C9" s="51"/>
      <c r="D9" s="51"/>
      <c r="E9" s="51"/>
      <c r="F9" s="51"/>
      <c r="G9" s="51"/>
      <c r="H9" s="12">
        <v>2434.79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45537</v>
      </c>
      <c r="C10" s="13" t="s">
        <v>8</v>
      </c>
      <c r="D10" s="23">
        <v>24927.77</v>
      </c>
      <c r="E10" s="23">
        <f>D10-F10</f>
        <v>18696.02</v>
      </c>
      <c r="F10" s="23">
        <v>6231.75</v>
      </c>
      <c r="G10" s="23">
        <f t="shared" ref="G10:G35" si="0">F10</f>
        <v>6231.75</v>
      </c>
      <c r="H10" s="12">
        <f t="shared" ref="H10:H28" si="1">H9+F10-G10</f>
        <v>2434.7900000000009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45538</v>
      </c>
      <c r="C11" s="13" t="s">
        <v>8</v>
      </c>
      <c r="D11" s="23">
        <v>11358.65</v>
      </c>
      <c r="E11" s="23">
        <f t="shared" ref="E11:E35" si="3">D11-F11</f>
        <v>8519.07</v>
      </c>
      <c r="F11" s="24">
        <v>2839.58</v>
      </c>
      <c r="G11" s="23">
        <f t="shared" si="0"/>
        <v>2839.58</v>
      </c>
      <c r="H11" s="12">
        <f t="shared" si="1"/>
        <v>2434.7900000000009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45539</v>
      </c>
      <c r="C12" s="13" t="s">
        <v>8</v>
      </c>
      <c r="D12" s="23">
        <v>9024.11</v>
      </c>
      <c r="E12" s="23">
        <f t="shared" si="3"/>
        <v>6768.130000000001</v>
      </c>
      <c r="F12" s="24">
        <v>2255.98</v>
      </c>
      <c r="G12" s="23">
        <f t="shared" si="0"/>
        <v>2255.98</v>
      </c>
      <c r="H12" s="12">
        <f t="shared" si="1"/>
        <v>2434.7900000000004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45540</v>
      </c>
      <c r="C13" s="13" t="s">
        <v>8</v>
      </c>
      <c r="D13" s="23">
        <v>5982.13</v>
      </c>
      <c r="E13" s="23">
        <f t="shared" si="3"/>
        <v>4486.6400000000003</v>
      </c>
      <c r="F13" s="24">
        <v>1495.49</v>
      </c>
      <c r="G13" s="23">
        <f t="shared" si="0"/>
        <v>1495.49</v>
      </c>
      <c r="H13" s="12">
        <f t="shared" si="1"/>
        <v>2434.7900000000009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45541</v>
      </c>
      <c r="C14" s="13" t="s">
        <v>8</v>
      </c>
      <c r="D14" s="23">
        <v>8063.66</v>
      </c>
      <c r="E14" s="23">
        <f t="shared" si="3"/>
        <v>6047.79</v>
      </c>
      <c r="F14" s="24">
        <v>2015.87</v>
      </c>
      <c r="G14" s="23">
        <f t="shared" si="0"/>
        <v>2015.87</v>
      </c>
      <c r="H14" s="12">
        <f t="shared" si="1"/>
        <v>2434.7900000000009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45544</v>
      </c>
      <c r="C15" s="13" t="s">
        <v>8</v>
      </c>
      <c r="D15" s="23">
        <v>6362.51</v>
      </c>
      <c r="E15" s="23">
        <f t="shared" si="3"/>
        <v>4771.92</v>
      </c>
      <c r="F15" s="25">
        <v>1590.59</v>
      </c>
      <c r="G15" s="23">
        <f t="shared" si="0"/>
        <v>1590.59</v>
      </c>
      <c r="H15" s="12">
        <f t="shared" si="1"/>
        <v>2434.7900000000009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45545</v>
      </c>
      <c r="C16" s="13" t="s">
        <v>8</v>
      </c>
      <c r="D16" s="23">
        <v>16912.22</v>
      </c>
      <c r="E16" s="23">
        <f t="shared" si="3"/>
        <v>12684.260000000002</v>
      </c>
      <c r="F16" s="25">
        <v>4227.96</v>
      </c>
      <c r="G16" s="23">
        <f t="shared" si="0"/>
        <v>4227.96</v>
      </c>
      <c r="H16" s="12">
        <f t="shared" si="1"/>
        <v>2434.7900000000009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45546</v>
      </c>
      <c r="C17" s="13" t="s">
        <v>8</v>
      </c>
      <c r="D17" s="23">
        <v>11361.34</v>
      </c>
      <c r="E17" s="23">
        <f t="shared" si="3"/>
        <v>8521.1</v>
      </c>
      <c r="F17" s="25">
        <v>2840.24</v>
      </c>
      <c r="G17" s="23">
        <f t="shared" si="0"/>
        <v>2840.24</v>
      </c>
      <c r="H17" s="12">
        <f t="shared" si="1"/>
        <v>2434.7900000000009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45547</v>
      </c>
      <c r="C18" s="13" t="s">
        <v>8</v>
      </c>
      <c r="D18" s="23">
        <v>7032.87</v>
      </c>
      <c r="E18" s="23">
        <f t="shared" si="3"/>
        <v>5274.67</v>
      </c>
      <c r="F18" s="25">
        <v>1758.2</v>
      </c>
      <c r="G18" s="23">
        <f t="shared" si="0"/>
        <v>1758.2</v>
      </c>
      <c r="H18" s="12">
        <f t="shared" si="1"/>
        <v>2434.7900000000009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45548</v>
      </c>
      <c r="C19" s="13" t="s">
        <v>8</v>
      </c>
      <c r="D19" s="23">
        <v>8265.91</v>
      </c>
      <c r="E19" s="23">
        <f t="shared" si="3"/>
        <v>6199.49</v>
      </c>
      <c r="F19" s="25">
        <v>2066.42</v>
      </c>
      <c r="G19" s="23">
        <f t="shared" si="0"/>
        <v>2066.42</v>
      </c>
      <c r="H19" s="12">
        <f t="shared" si="1"/>
        <v>2434.7900000000009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45551</v>
      </c>
      <c r="C20" s="13" t="s">
        <v>8</v>
      </c>
      <c r="D20" s="23">
        <v>6892.7</v>
      </c>
      <c r="E20" s="23">
        <f t="shared" si="3"/>
        <v>5169.5599999999995</v>
      </c>
      <c r="F20" s="25">
        <v>1723.14</v>
      </c>
      <c r="G20" s="23">
        <f t="shared" si="0"/>
        <v>1723.14</v>
      </c>
      <c r="H20" s="12">
        <f t="shared" si="1"/>
        <v>2434.7900000000009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45552</v>
      </c>
      <c r="C21" s="13" t="s">
        <v>8</v>
      </c>
      <c r="D21" s="23">
        <v>4986.6099999999997</v>
      </c>
      <c r="E21" s="23">
        <f t="shared" si="3"/>
        <v>3739.9799999999996</v>
      </c>
      <c r="F21" s="25">
        <v>1246.6300000000001</v>
      </c>
      <c r="G21" s="23">
        <f t="shared" si="0"/>
        <v>1246.6300000000001</v>
      </c>
      <c r="H21" s="12">
        <f t="shared" si="1"/>
        <v>2434.7900000000009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45553</v>
      </c>
      <c r="C22" s="13" t="s">
        <v>8</v>
      </c>
      <c r="D22" s="23">
        <v>5052.55</v>
      </c>
      <c r="E22" s="23">
        <f t="shared" si="3"/>
        <v>3789.4400000000005</v>
      </c>
      <c r="F22" s="25">
        <v>1263.1099999999999</v>
      </c>
      <c r="G22" s="23">
        <f t="shared" si="0"/>
        <v>1263.1099999999999</v>
      </c>
      <c r="H22" s="12">
        <f t="shared" si="1"/>
        <v>2434.7900000000009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45554</v>
      </c>
      <c r="C23" s="13" t="s">
        <v>8</v>
      </c>
      <c r="D23" s="23">
        <v>4887.63</v>
      </c>
      <c r="E23" s="23">
        <f t="shared" si="3"/>
        <v>3665.75</v>
      </c>
      <c r="F23" s="25">
        <v>1221.8800000000001</v>
      </c>
      <c r="G23" s="23">
        <f t="shared" si="0"/>
        <v>1221.8800000000001</v>
      </c>
      <c r="H23" s="12">
        <f t="shared" si="1"/>
        <v>2434.7900000000009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45555</v>
      </c>
      <c r="C24" s="13" t="s">
        <v>8</v>
      </c>
      <c r="D24" s="23">
        <v>5257.86</v>
      </c>
      <c r="E24" s="23">
        <f t="shared" si="3"/>
        <v>3943.4299999999994</v>
      </c>
      <c r="F24" s="25">
        <v>1314.43</v>
      </c>
      <c r="G24" s="23">
        <f t="shared" si="0"/>
        <v>1314.43</v>
      </c>
      <c r="H24" s="12">
        <f t="shared" si="1"/>
        <v>2434.7900000000009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45558</v>
      </c>
      <c r="C25" s="13" t="s">
        <v>8</v>
      </c>
      <c r="D25" s="23">
        <v>7660.8</v>
      </c>
      <c r="E25" s="23">
        <f t="shared" si="3"/>
        <v>5745.66</v>
      </c>
      <c r="F25" s="25">
        <v>1915.14</v>
      </c>
      <c r="G25" s="23">
        <f t="shared" si="0"/>
        <v>1915.14</v>
      </c>
      <c r="H25" s="12">
        <f t="shared" si="1"/>
        <v>2434.7900000000009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45559</v>
      </c>
      <c r="C26" s="13" t="s">
        <v>8</v>
      </c>
      <c r="D26" s="23">
        <v>5316.01</v>
      </c>
      <c r="E26" s="23">
        <f t="shared" si="3"/>
        <v>3987.04</v>
      </c>
      <c r="F26" s="25">
        <v>1328.97</v>
      </c>
      <c r="G26" s="23">
        <f t="shared" si="0"/>
        <v>1328.97</v>
      </c>
      <c r="H26" s="12">
        <f t="shared" si="1"/>
        <v>2434.7900000000009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45560</v>
      </c>
      <c r="C27" s="13" t="s">
        <v>8</v>
      </c>
      <c r="D27" s="23">
        <v>2222.59</v>
      </c>
      <c r="E27" s="23">
        <f t="shared" si="3"/>
        <v>1666.96</v>
      </c>
      <c r="F27" s="25">
        <v>555.63</v>
      </c>
      <c r="G27" s="23">
        <f t="shared" si="0"/>
        <v>555.63</v>
      </c>
      <c r="H27" s="12">
        <f t="shared" si="1"/>
        <v>2434.7900000000009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45561</v>
      </c>
      <c r="C28" s="13" t="s">
        <v>8</v>
      </c>
      <c r="D28" s="23">
        <v>2809.93</v>
      </c>
      <c r="E28" s="23">
        <f t="shared" si="3"/>
        <v>2107.46</v>
      </c>
      <c r="F28" s="25">
        <v>702.47</v>
      </c>
      <c r="G28" s="23">
        <f t="shared" si="0"/>
        <v>702.47</v>
      </c>
      <c r="H28" s="12">
        <f t="shared" si="1"/>
        <v>2434.7900000000009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45562</v>
      </c>
      <c r="C29" s="13" t="s">
        <v>8</v>
      </c>
      <c r="D29" s="23">
        <v>9489.31</v>
      </c>
      <c r="E29" s="23">
        <f>D29-F29</f>
        <v>7117.0299999999988</v>
      </c>
      <c r="F29" s="25">
        <v>2372.2800000000002</v>
      </c>
      <c r="G29" s="23">
        <f>F29</f>
        <v>2372.2800000000002</v>
      </c>
      <c r="H29" s="12">
        <f>H28+F29-G29</f>
        <v>2434.7900000000013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45565</v>
      </c>
      <c r="C30" s="13" t="s">
        <v>8</v>
      </c>
      <c r="D30" s="23">
        <v>4987.63</v>
      </c>
      <c r="E30" s="23">
        <f t="shared" si="3"/>
        <v>3740.75</v>
      </c>
      <c r="F30" s="25">
        <v>1246.8800000000001</v>
      </c>
      <c r="G30" s="23">
        <f t="shared" ref="G30:G32" si="4">F30</f>
        <v>1246.8800000000001</v>
      </c>
      <c r="H30" s="12">
        <f t="shared" ref="H30:H32" si="5">H29+F30-G30</f>
        <v>2434.7900000000013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45566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2434.7900000000013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45567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2434.7900000000013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45558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2434.79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45565</v>
      </c>
      <c r="C34" s="27" t="s">
        <v>11</v>
      </c>
      <c r="D34" s="23">
        <v>6186.34</v>
      </c>
      <c r="E34" s="23">
        <f>D34-F34</f>
        <v>4639.75</v>
      </c>
      <c r="F34" s="25">
        <v>1546.59</v>
      </c>
      <c r="G34" s="23">
        <v>0</v>
      </c>
      <c r="H34" s="12">
        <f>H33+F34-G34</f>
        <v>1546.59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1546.59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175041.12999999995</v>
      </c>
      <c r="E36" s="20">
        <f>SUM(E10:E35)</f>
        <v>131281.90000000002</v>
      </c>
      <c r="F36" s="20">
        <f>SUM(F10:F35)</f>
        <v>43759.229999999996</v>
      </c>
      <c r="G36" s="14">
        <f>SUM(G10:G35)</f>
        <v>44647.43</v>
      </c>
      <c r="H36" s="12">
        <f>+H35</f>
        <v>1546.59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2" t="s">
        <v>10</v>
      </c>
      <c r="C37" s="53"/>
      <c r="D37" s="53"/>
      <c r="E37" s="53"/>
      <c r="F37" s="53"/>
      <c r="G37" s="53"/>
      <c r="H37" s="54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1" t="s">
        <v>67</v>
      </c>
      <c r="C38" s="42"/>
      <c r="D38" s="42"/>
      <c r="E38" s="42"/>
      <c r="F38" s="42"/>
      <c r="G38" s="42"/>
      <c r="H38" s="4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5" t="s">
        <v>68</v>
      </c>
      <c r="C39" s="59"/>
      <c r="D39" s="59"/>
      <c r="E39" s="59"/>
      <c r="F39" s="59"/>
      <c r="G39" s="59"/>
      <c r="H39" s="43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5" t="s">
        <v>69</v>
      </c>
      <c r="C40" s="42"/>
      <c r="D40" s="42"/>
      <c r="E40" s="42"/>
      <c r="F40" s="42"/>
      <c r="G40" s="42"/>
      <c r="H40" s="4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5"/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4"/>
      <c r="C42" s="45"/>
      <c r="D42" s="45"/>
      <c r="E42" s="45"/>
      <c r="F42" s="45"/>
      <c r="G42" s="45"/>
      <c r="H42" s="46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21</vt:i4>
      </vt:variant>
      <vt:variant>
        <vt:lpstr>Intervalos Nomeados</vt:lpstr>
      </vt:variant>
      <vt:variant>
        <vt:i4>20</vt:i4>
      </vt:variant>
    </vt:vector>
  </HeadingPairs>
  <TitlesOfParts>
    <vt:vector size="41" baseType="lpstr">
      <vt:lpstr>01-2024</vt:lpstr>
      <vt:lpstr>02-2024</vt:lpstr>
      <vt:lpstr>03-2024</vt:lpstr>
      <vt:lpstr>04-2024</vt:lpstr>
      <vt:lpstr>05-2024</vt:lpstr>
      <vt:lpstr>06-2024</vt:lpstr>
      <vt:lpstr>07-2024</vt:lpstr>
      <vt:lpstr>08-2024</vt:lpstr>
      <vt:lpstr>09-2024</vt:lpstr>
      <vt:lpstr>10-2024</vt:lpstr>
      <vt:lpstr>11-2024</vt:lpstr>
      <vt:lpstr>12-2024</vt:lpstr>
      <vt:lpstr>01-2025</vt:lpstr>
      <vt:lpstr>02-2025</vt:lpstr>
      <vt:lpstr>03-2025</vt:lpstr>
      <vt:lpstr>04-2025</vt:lpstr>
      <vt:lpstr>05-2025</vt:lpstr>
      <vt:lpstr>06-2025</vt:lpstr>
      <vt:lpstr>07-2025</vt:lpstr>
      <vt:lpstr>08-2025</vt:lpstr>
      <vt:lpstr>09-2025</vt:lpstr>
      <vt:lpstr>'01-2024'!Area_de_impressao</vt:lpstr>
      <vt:lpstr>'01-2025'!Area_de_impressao</vt:lpstr>
      <vt:lpstr>'02-2025'!Area_de_impressao</vt:lpstr>
      <vt:lpstr>'03-2024'!Area_de_impressao</vt:lpstr>
      <vt:lpstr>'03-2025'!Area_de_impressao</vt:lpstr>
      <vt:lpstr>'04-2024'!Area_de_impressao</vt:lpstr>
      <vt:lpstr>'04-2025'!Area_de_impressao</vt:lpstr>
      <vt:lpstr>'05-2024'!Area_de_impressao</vt:lpstr>
      <vt:lpstr>'05-2025'!Area_de_impressao</vt:lpstr>
      <vt:lpstr>'06-2024'!Area_de_impressao</vt:lpstr>
      <vt:lpstr>'06-2025'!Area_de_impressao</vt:lpstr>
      <vt:lpstr>'07-2024'!Area_de_impressao</vt:lpstr>
      <vt:lpstr>'07-2025'!Area_de_impressao</vt:lpstr>
      <vt:lpstr>'08-2024'!Area_de_impressao</vt:lpstr>
      <vt:lpstr>'08-2025'!Area_de_impressao</vt:lpstr>
      <vt:lpstr>'09-2024'!Area_de_impressao</vt:lpstr>
      <vt:lpstr>'09-2025'!Area_de_impressao</vt:lpstr>
      <vt:lpstr>'10-2024'!Area_de_impressao</vt:lpstr>
      <vt:lpstr>'11-2024'!Area_de_impressao</vt:lpstr>
      <vt:lpstr>'12-2024'!Area_de_impressao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Cliente</cp:lastModifiedBy>
  <cp:lastPrinted>2025-10-17T19:10:14Z</cp:lastPrinted>
  <dcterms:created xsi:type="dcterms:W3CDTF">2012-01-17T12:10:04Z</dcterms:created>
  <dcterms:modified xsi:type="dcterms:W3CDTF">2025-10-17T19:10:25Z</dcterms:modified>
</cp:coreProperties>
</file>