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10.2025\"/>
    </mc:Choice>
  </mc:AlternateContent>
  <xr:revisionPtr revIDLastSave="0" documentId="13_ncr:1_{4FF9E41F-FF41-4B7F-8CEE-CE727E59449B}" xr6:coauthVersionLast="47" xr6:coauthVersionMax="47" xr10:uidLastSave="{00000000-0000-0000-0000-000000000000}"/>
  <bookViews>
    <workbookView xWindow="3285" yWindow="3285" windowWidth="19155" windowHeight="11685" tabRatio="918" firstSheet="9" activeTab="21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  <sheet name="08-2025" sheetId="32" r:id="rId20"/>
    <sheet name="09-2025" sheetId="33" r:id="rId21"/>
    <sheet name="10-2025" sheetId="34" r:id="rId22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19">'08-2025'!$A$1:$H$41</definedName>
    <definedName name="_xlnm.Print_Area" localSheetId="8">'09-2024'!$A$1:$H$43</definedName>
    <definedName name="_xlnm.Print_Area" localSheetId="20">'09-2025'!$A$1:$H$41</definedName>
    <definedName name="_xlnm.Print_Area" localSheetId="9">'10-2024'!$A$1:$H$43</definedName>
    <definedName name="_xlnm.Print_Area" localSheetId="21">'10-2025'!$A$1:$H$43</definedName>
    <definedName name="_xlnm.Print_Area" localSheetId="10">'11-2024'!$A$1:$H$43</definedName>
    <definedName name="_xlnm.Print_Area" localSheetId="11">'12-2024'!$A$1:$H$42</definedName>
  </definedNames>
  <calcPr calcId="181029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H34" i="32" l="1"/>
  <c r="F28" i="33"/>
  <c r="E28" i="33" s="1"/>
  <c r="F30" i="34" l="1"/>
  <c r="E30" i="34" s="1"/>
  <c r="G33" i="34"/>
  <c r="D33" i="34"/>
  <c r="F33" i="34" s="1"/>
  <c r="E33" i="34" s="1"/>
  <c r="G32" i="34"/>
  <c r="D32" i="34"/>
  <c r="F32" i="34" s="1"/>
  <c r="E32" i="34" s="1"/>
  <c r="G31" i="34"/>
  <c r="D31" i="34"/>
  <c r="F31" i="34" s="1"/>
  <c r="E31" i="34" s="1"/>
  <c r="G29" i="34"/>
  <c r="D29" i="34"/>
  <c r="D28" i="34"/>
  <c r="F28" i="34" s="1"/>
  <c r="G28" i="34"/>
  <c r="G27" i="34"/>
  <c r="D27" i="34"/>
  <c r="F27" i="34" s="1"/>
  <c r="G26" i="34"/>
  <c r="D26" i="34"/>
  <c r="F26" i="34" s="1"/>
  <c r="E26" i="34" s="1"/>
  <c r="D25" i="34"/>
  <c r="F25" i="34" s="1"/>
  <c r="E25" i="34" s="1"/>
  <c r="G24" i="34"/>
  <c r="D24" i="34"/>
  <c r="F24" i="34" s="1"/>
  <c r="E24" i="34" s="1"/>
  <c r="G23" i="34"/>
  <c r="D23" i="34"/>
  <c r="G22" i="34"/>
  <c r="D22" i="34"/>
  <c r="F22" i="34" s="1"/>
  <c r="E22" i="34" s="1"/>
  <c r="G21" i="34"/>
  <c r="D21" i="34"/>
  <c r="F21" i="34" s="1"/>
  <c r="E21" i="34" s="1"/>
  <c r="G20" i="34"/>
  <c r="D20" i="34"/>
  <c r="F20" i="34" s="1"/>
  <c r="E20" i="34" s="1"/>
  <c r="G19" i="34"/>
  <c r="D19" i="34"/>
  <c r="F19" i="34" s="1"/>
  <c r="G18" i="34"/>
  <c r="D18" i="34"/>
  <c r="F18" i="34" s="1"/>
  <c r="E18" i="34" s="1"/>
  <c r="G17" i="34"/>
  <c r="D17" i="34"/>
  <c r="F17" i="34" s="1"/>
  <c r="E17" i="34" s="1"/>
  <c r="G16" i="34"/>
  <c r="D16" i="34"/>
  <c r="F16" i="34" s="1"/>
  <c r="E16" i="34" s="1"/>
  <c r="G15" i="34"/>
  <c r="D15" i="34"/>
  <c r="F15" i="34" s="1"/>
  <c r="G14" i="34"/>
  <c r="D14" i="34"/>
  <c r="F14" i="34" s="1"/>
  <c r="E14" i="34" s="1"/>
  <c r="G13" i="34"/>
  <c r="D13" i="34"/>
  <c r="F13" i="34" s="1"/>
  <c r="G12" i="34"/>
  <c r="D12" i="34"/>
  <c r="F12" i="34" s="1"/>
  <c r="E12" i="34" s="1"/>
  <c r="G11" i="34"/>
  <c r="D11" i="34"/>
  <c r="F11" i="34" s="1"/>
  <c r="E11" i="34" s="1"/>
  <c r="G10" i="34"/>
  <c r="D10" i="34"/>
  <c r="F34" i="34"/>
  <c r="F29" i="34"/>
  <c r="E29" i="34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E34" i="34" l="1"/>
  <c r="E15" i="34"/>
  <c r="E19" i="34"/>
  <c r="E27" i="34"/>
  <c r="F23" i="34"/>
  <c r="E23" i="34" s="1"/>
  <c r="G35" i="34"/>
  <c r="E13" i="34"/>
  <c r="D35" i="34"/>
  <c r="B29" i="34"/>
  <c r="B31" i="34" s="1"/>
  <c r="B32" i="34" s="1"/>
  <c r="B33" i="34" s="1"/>
  <c r="E28" i="34"/>
  <c r="F10" i="34"/>
  <c r="G32" i="33"/>
  <c r="D32" i="33"/>
  <c r="G31" i="33"/>
  <c r="D31" i="33"/>
  <c r="F31" i="33" s="1"/>
  <c r="G30" i="33"/>
  <c r="D30" i="33"/>
  <c r="F30" i="33" s="1"/>
  <c r="E30" i="33" s="1"/>
  <c r="G29" i="33"/>
  <c r="D29" i="33"/>
  <c r="F29" i="33" s="1"/>
  <c r="G27" i="33"/>
  <c r="D27" i="33"/>
  <c r="G26" i="33"/>
  <c r="D26" i="33"/>
  <c r="F26" i="33" s="1"/>
  <c r="G25" i="33"/>
  <c r="D25" i="33"/>
  <c r="F25" i="33" s="1"/>
  <c r="E25" i="33" s="1"/>
  <c r="G24" i="33"/>
  <c r="D24" i="33"/>
  <c r="F24" i="33" s="1"/>
  <c r="G23" i="33"/>
  <c r="D23" i="33"/>
  <c r="F23" i="33" s="1"/>
  <c r="E23" i="33" s="1"/>
  <c r="G22" i="33"/>
  <c r="D22" i="33"/>
  <c r="F22" i="33" s="1"/>
  <c r="G21" i="33"/>
  <c r="D21" i="33"/>
  <c r="F21" i="33" s="1"/>
  <c r="E21" i="33" s="1"/>
  <c r="G20" i="33"/>
  <c r="D20" i="33"/>
  <c r="F20" i="33" s="1"/>
  <c r="G19" i="33"/>
  <c r="D19" i="33"/>
  <c r="F19" i="33" s="1"/>
  <c r="E19" i="33" s="1"/>
  <c r="G18" i="33"/>
  <c r="D18" i="33"/>
  <c r="F18" i="33" s="1"/>
  <c r="G17" i="33"/>
  <c r="D17" i="33"/>
  <c r="G16" i="33"/>
  <c r="D16" i="33"/>
  <c r="F16" i="33" s="1"/>
  <c r="G15" i="33"/>
  <c r="D15" i="33"/>
  <c r="F15" i="33" s="1"/>
  <c r="E15" i="33" s="1"/>
  <c r="G14" i="33"/>
  <c r="D14" i="33"/>
  <c r="F14" i="33" s="1"/>
  <c r="G13" i="33"/>
  <c r="D13" i="33"/>
  <c r="F13" i="33" s="1"/>
  <c r="E13" i="33" s="1"/>
  <c r="G12" i="33"/>
  <c r="D12" i="33"/>
  <c r="F12" i="33" s="1"/>
  <c r="G11" i="33"/>
  <c r="D11" i="33"/>
  <c r="F11" i="33" s="1"/>
  <c r="E11" i="33" s="1"/>
  <c r="G10" i="33"/>
  <c r="D10" i="33"/>
  <c r="F33" i="33"/>
  <c r="E33" i="33" s="1"/>
  <c r="F32" i="33"/>
  <c r="E32" i="33" s="1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9" i="33" s="1"/>
  <c r="J31" i="32"/>
  <c r="E10" i="34" l="1"/>
  <c r="E35" i="34" s="1"/>
  <c r="F35" i="34"/>
  <c r="H10" i="34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H29" i="34" s="1"/>
  <c r="H30" i="34" s="1"/>
  <c r="H31" i="34" s="1"/>
  <c r="H32" i="34" s="1"/>
  <c r="F27" i="33"/>
  <c r="E27" i="33"/>
  <c r="B30" i="33"/>
  <c r="B31" i="33" s="1"/>
  <c r="B32" i="33" s="1"/>
  <c r="G34" i="33"/>
  <c r="F17" i="33"/>
  <c r="E17" i="33" s="1"/>
  <c r="D34" i="33"/>
  <c r="E12" i="33"/>
  <c r="E14" i="33"/>
  <c r="E16" i="33"/>
  <c r="E18" i="33"/>
  <c r="E20" i="33"/>
  <c r="E22" i="33"/>
  <c r="E24" i="33"/>
  <c r="E26" i="33"/>
  <c r="E29" i="33"/>
  <c r="E31" i="33"/>
  <c r="F10" i="33"/>
  <c r="F34" i="33" s="1"/>
  <c r="G30" i="32"/>
  <c r="D30" i="32"/>
  <c r="E30" i="32" s="1"/>
  <c r="G29" i="32"/>
  <c r="D29" i="32"/>
  <c r="G28" i="32"/>
  <c r="D28" i="32"/>
  <c r="G27" i="32"/>
  <c r="D27" i="32"/>
  <c r="G26" i="32"/>
  <c r="D26" i="32"/>
  <c r="G25" i="32"/>
  <c r="D25" i="32"/>
  <c r="G24" i="32"/>
  <c r="D24" i="32"/>
  <c r="G23" i="32"/>
  <c r="D23" i="32"/>
  <c r="G22" i="32"/>
  <c r="D22" i="32"/>
  <c r="E22" i="32" s="1"/>
  <c r="G21" i="32"/>
  <c r="D21" i="32"/>
  <c r="G20" i="32"/>
  <c r="D20" i="32"/>
  <c r="G19" i="32"/>
  <c r="D19" i="32"/>
  <c r="G18" i="32"/>
  <c r="D18" i="32"/>
  <c r="F18" i="32" s="1"/>
  <c r="E18" i="32" s="1"/>
  <c r="G17" i="32"/>
  <c r="G34" i="32" s="1"/>
  <c r="D17" i="32"/>
  <c r="G16" i="32"/>
  <c r="D16" i="32"/>
  <c r="F16" i="32" s="1"/>
  <c r="E16" i="32" s="1"/>
  <c r="G15" i="32"/>
  <c r="D15" i="32"/>
  <c r="G14" i="32"/>
  <c r="D14" i="32"/>
  <c r="G13" i="32"/>
  <c r="D13" i="32"/>
  <c r="G12" i="32"/>
  <c r="D12" i="32"/>
  <c r="G11" i="32"/>
  <c r="D11" i="32"/>
  <c r="H9" i="32"/>
  <c r="G10" i="32"/>
  <c r="D10" i="32"/>
  <c r="F33" i="32"/>
  <c r="E33" i="32" s="1"/>
  <c r="F32" i="32"/>
  <c r="E32" i="32" s="1"/>
  <c r="F31" i="32"/>
  <c r="F30" i="32"/>
  <c r="F29" i="32"/>
  <c r="F28" i="32"/>
  <c r="E28" i="32" s="1"/>
  <c r="F27" i="32"/>
  <c r="F26" i="32"/>
  <c r="E26" i="32" s="1"/>
  <c r="F25" i="32"/>
  <c r="F24" i="32"/>
  <c r="E24" i="32"/>
  <c r="F23" i="32"/>
  <c r="F22" i="32"/>
  <c r="F21" i="32"/>
  <c r="F20" i="32"/>
  <c r="E20" i="32" s="1"/>
  <c r="F19" i="32"/>
  <c r="F17" i="32"/>
  <c r="F15" i="32"/>
  <c r="F14" i="32"/>
  <c r="E14" i="32" s="1"/>
  <c r="F13" i="32"/>
  <c r="F12" i="32"/>
  <c r="E12" i="32" s="1"/>
  <c r="F11" i="32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F10" i="32"/>
  <c r="H10" i="32" s="1"/>
  <c r="H11" i="32" s="1"/>
  <c r="H12" i="32" s="1"/>
  <c r="H13" i="32" s="1"/>
  <c r="E10" i="32"/>
  <c r="D34" i="32"/>
  <c r="J33" i="31"/>
  <c r="H33" i="31"/>
  <c r="H9" i="31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21" i="31"/>
  <c r="E21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F15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G12" i="29"/>
  <c r="D12" i="29"/>
  <c r="F12" i="29" s="1"/>
  <c r="E12" i="29" s="1"/>
  <c r="G11" i="29"/>
  <c r="D11" i="29"/>
  <c r="G10" i="29"/>
  <c r="D10" i="29"/>
  <c r="F23" i="29"/>
  <c r="E23" i="29" s="1"/>
  <c r="F19" i="29"/>
  <c r="E19" i="29" s="1"/>
  <c r="F13" i="29"/>
  <c r="E13" i="29" s="1"/>
  <c r="F11" i="29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F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E13" i="27" s="1"/>
  <c r="F14" i="27"/>
  <c r="E14" i="27" s="1"/>
  <c r="F15" i="27"/>
  <c r="F16" i="27"/>
  <c r="E16" i="27" s="1"/>
  <c r="F17" i="27"/>
  <c r="F18" i="27"/>
  <c r="E18" i="27" s="1"/>
  <c r="F19" i="27"/>
  <c r="F20" i="27"/>
  <c r="E20" i="27" s="1"/>
  <c r="F21" i="27"/>
  <c r="F22" i="27"/>
  <c r="E22" i="27" s="1"/>
  <c r="F23" i="27"/>
  <c r="E23" i="27" s="1"/>
  <c r="F24" i="27"/>
  <c r="E24" i="27" s="1"/>
  <c r="F25" i="27"/>
  <c r="F26" i="27"/>
  <c r="F27" i="27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7" i="27"/>
  <c r="E26" i="27"/>
  <c r="E25" i="27"/>
  <c r="E21" i="27"/>
  <c r="E19" i="27"/>
  <c r="E17" i="27"/>
  <c r="E15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H33" i="34" l="1"/>
  <c r="H34" i="34" s="1"/>
  <c r="H35" i="34" s="1"/>
  <c r="E10" i="33"/>
  <c r="E34" i="33" s="1"/>
  <c r="H10" i="33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H14" i="32"/>
  <c r="H15" i="32" s="1"/>
  <c r="H16" i="32" s="1"/>
  <c r="H17" i="32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E11" i="32"/>
  <c r="E13" i="32"/>
  <c r="E15" i="32"/>
  <c r="E17" i="32"/>
  <c r="E19" i="32"/>
  <c r="E21" i="32"/>
  <c r="E23" i="32"/>
  <c r="E25" i="32"/>
  <c r="E27" i="32"/>
  <c r="E29" i="32"/>
  <c r="E31" i="32"/>
  <c r="F34" i="32"/>
  <c r="H32" i="28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H34" i="33" l="1"/>
  <c r="XFD28" i="34"/>
  <c r="XFD29" i="33"/>
  <c r="E34" i="32"/>
  <c r="H33" i="32"/>
  <c r="F32" i="29"/>
  <c r="H34" i="31"/>
  <c r="F34" i="31"/>
  <c r="E29" i="31"/>
  <c r="E34" i="31" s="1"/>
  <c r="E32" i="30"/>
  <c r="F32" i="30"/>
  <c r="E10" i="29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9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0" i="29" l="1"/>
  <c r="H31" i="29" s="1"/>
  <c r="H31" i="26"/>
  <c r="H32" i="26" s="1"/>
  <c r="H32" i="30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H33" i="20" l="1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G35" i="19" l="1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5" i="17" l="1"/>
  <c r="H36" i="17" s="1"/>
  <c r="H37" i="17" s="1"/>
  <c r="H38" i="17" s="1"/>
  <c r="H39" i="17" s="1"/>
  <c r="H34" i="17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<sst xmlns="http://schemas.openxmlformats.org/spreadsheetml/2006/main" count="928" uniqueCount="144">
  <si>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</si>
  <si>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</si>
  <si>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</si>
  <si>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</si>
  <si>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</si>
  <si>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</si>
  <si>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</si>
  <si>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</si>
  <si>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</si>
  <si>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</si>
  <si>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</si>
  <si>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</si>
  <si>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</si>
  <si>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</si>
  <si>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</si>
  <si>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</si>
  <si>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</si>
  <si>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</si>
  <si>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</si>
  <si>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</si>
  <si>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</si>
  <si>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</si>
  <si>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</si>
  <si>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</si>
  <si>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</si>
  <si>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</si>
  <si>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</si>
  <si>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</si>
  <si>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</si>
  <si>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</si>
  <si>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</si>
  <si>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</si>
  <si>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</si>
  <si>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</si>
  <si>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</si>
  <si>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</si>
  <si>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</si>
  <si>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</si>
  <si>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</si>
  <si>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</si>
  <si>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</si>
  <si>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</si>
  <si>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</si>
  <si>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</si>
  <si>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</si>
  <si>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</si>
  <si>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</si>
  <si>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</si>
  <si>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</si>
  <si>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</si>
  <si>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</si>
  <si>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</si>
  <si>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</si>
  <si>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</si>
  <si>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</si>
  <si>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</si>
  <si>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</si>
  <si>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</si>
  <si>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</si>
  <si>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</si>
  <si>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</si>
  <si>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</si>
  <si>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</si>
  <si>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</si>
  <si>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</si>
  <si>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</si>
  <si>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</si>
  <si>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</si>
  <si>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</si>
  <si>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</si>
  <si>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</si>
  <si>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</si>
  <si>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</si>
  <si>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</si>
  <si>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</si>
  <si>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</si>
  <si>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</si>
  <si>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</si>
  <si>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</si>
  <si>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</si>
  <si>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</si>
  <si>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</si>
  <si>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</si>
  <si>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</si>
  <si>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</si>
  <si>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</si>
  <si>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</si>
  <si>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</si>
  <si>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</si>
  <si>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</si>
  <si>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</si>
  <si>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</si>
  <si>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</si>
  <si>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</si>
  <si>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</si>
  <si>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</si>
  <si>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</si>
  <si>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</si>
  <si>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</si>
  <si>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</si>
  <si>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</si>
  <si>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</si>
  <si>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</si>
  <si>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</si>
  <si>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</si>
  <si>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</si>
  <si>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</si>
  <si>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</si>
  <si>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</si>
  <si>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</si>
  <si>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</si>
  <si>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</si>
  <si>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</si>
  <si>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</si>
  <si>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</si>
  <si>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</si>
  <si>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</si>
  <si>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</si>
  <si>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</si>
  <si>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</si>
  <si>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 Valor Repasssado ao CFMV referente a Cota-Parte em aberto apurado em Junho de 2025.</t>
  </si>
  <si>
    <t>**Valor referente a cota parte apurada através de receita de anuidades em dívida ativa, recebido via depósito judicial e identificado no mês de Julho/2025</t>
  </si>
  <si>
    <r>
      <t xml:space="preserve">R$ 56.259,25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</si>
  <si>
    <t>Período: 01/07/2025 a 31/07/2025</t>
  </si>
  <si>
    <t>COTA-PARTE REFERENTE AO MÊS DE JULHO DE 2025</t>
  </si>
  <si>
    <t>Período: 01/08/2025 a 31/08/2025</t>
  </si>
  <si>
    <t>SALDO JULHO/2025</t>
  </si>
  <si>
    <r>
      <t xml:space="preserve">R$ 38.036,14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R$ 38.036,14</t>
    </r>
  </si>
  <si>
    <t>* Valor Repasssado ao CFMV referente a Cota-Parte em aberto apurado em Agosto de 2025.</t>
  </si>
  <si>
    <t>**Valor referente a cota parte apurada através de receita de anuidades em dívida ativa, recebido via depósito judicial e identificado no mês de Agosto/2025.</t>
  </si>
  <si>
    <t>COTA-PARTE REFERENTE AO MÊS DE AGOSTO DE 2025</t>
  </si>
  <si>
    <t>Período: 01/09/2025 a 30/09/2025</t>
  </si>
  <si>
    <t>COTA-PARTE REFERENTE AO MÊS DE SETEMBRO DE 2025</t>
  </si>
  <si>
    <t>SALDO AGOSTO/2025</t>
  </si>
  <si>
    <t>* Valor Repasssado ao CFMV referente a Cota-Parte em aberto apurado em Setembro de 2025.</t>
  </si>
  <si>
    <r>
      <t xml:space="preserve">R$ 48.407,54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R$ 48.407,54</t>
    </r>
  </si>
  <si>
    <t>**Valor referente a cota parte apurada através de receita de anuidades em dívida ativa, recebido via depósito judicial e identificado no mês de Setembro/2025.</t>
  </si>
  <si>
    <t>COTA-PARTE REFERENTE AO MÊS DE OUTUBRO DE 2025</t>
  </si>
  <si>
    <t>SALDO SETEMBRO/2025</t>
  </si>
  <si>
    <t>**Valor referente a cota parte apurada através de receita de anuidades em dívida ativa, recebido via depósito judicial e identificado no mês de Outubro/2025.</t>
  </si>
  <si>
    <t>Período: 01/10/2025 a 31/10/2025</t>
  </si>
  <si>
    <t>* Valor Repasssado ao CFMV referente a Cota-Parte em aberto apurado em Julho de 2025.</t>
  </si>
  <si>
    <t>*** Diferença na receita no valor de R$ 4.982,49, devido a erro nos boletos gerados em outros regionais com repasse.</t>
  </si>
  <si>
    <r>
      <t xml:space="preserve">R$ 40.357,78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R$ 41.855,76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</si>
</sst>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4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  <font>
      <b/>
      <i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4" fontId="2" fillId="2" borderId="28" xfId="0" applyNumberFormat="1" applyFont="1" applyFill="1" applyBorder="1" applyAlignment="1"/>
    <xf numFmtId="4" fontId="13" fillId="0" borderId="11" xfId="0" applyNumberFormat="1" applyFont="1" applyBorder="1" applyAlignment="1"/>
    <xf numFmtId="14" fontId="13" fillId="0" borderId="12" xfId="0" applyNumberFormat="1" applyFont="1" applyBorder="1" applyAlignment="1"/>
    <xf numFmtId="164" fontId="13" fillId="0" borderId="10" xfId="0" applyNumberFormat="1" applyFont="1" applyBorder="1" applyAlignment="1">
      <alignment horizontal="left"/>
    </xf>
    <xf numFmtId="165" fontId="13" fillId="0" borderId="19" xfId="0" applyNumberFormat="1" applyFont="1" applyBorder="1" applyAlignment="1"/>
    <xf numFmtId="165" fontId="13" fillId="0" borderId="13" xfId="0" applyNumberFormat="1" applyFont="1" applyBorder="1" applyAlignment="1"/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0" fontId="8" fillId="2" borderId="28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0" fontId="8" fillId="2" borderId="33" xfId="0" applyFont="1" applyFill="1" applyBorder="1" applyAlignment="1">
      <alignment horizontal="center"/>
    </xf>
    <xf numFmtId="0" fontId="6" fillId="0" borderId="34" xfId="0" applyFont="1" applyBorder="1"/>
    <xf numFmtId="0" fontId="8" fillId="2" borderId="34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 wrapText="1"/>
    </xf>
    <xf numFmtId="0" fontId="8" fillId="2" borderId="34" xfId="0" applyFont="1" applyFill="1" applyBorder="1" applyAlignment="1">
      <alignment horizont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/>
    <xf numFmtId="0" fontId="2" fillId="2" borderId="29" xfId="0" applyFont="1" applyFill="1" applyBorder="1" applyAlignment="1"/>
    <xf numFmtId="0" fontId="2" fillId="2" borderId="36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F31" sqref="F31: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15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28</v>
      </c>
      <c r="C9" s="56"/>
      <c r="D9" s="56"/>
      <c r="E9" s="56"/>
      <c r="F9" s="56"/>
      <c r="G9" s="56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7" t="s">
        <v>10</v>
      </c>
      <c r="C40" s="58"/>
      <c r="D40" s="58"/>
      <c r="E40" s="58"/>
      <c r="F40" s="58"/>
      <c r="G40" s="58"/>
      <c r="H40" s="59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6" t="s">
        <v>16</v>
      </c>
      <c r="C41" s="47"/>
      <c r="D41" s="47"/>
      <c r="E41" s="47"/>
      <c r="F41" s="47"/>
      <c r="G41" s="47"/>
      <c r="H41" s="48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60"/>
      <c r="C42" s="47"/>
      <c r="D42" s="47"/>
      <c r="E42" s="47"/>
      <c r="F42" s="47"/>
      <c r="G42" s="47"/>
      <c r="H42" s="48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60"/>
      <c r="C43" s="47"/>
      <c r="D43" s="47"/>
      <c r="E43" s="47"/>
      <c r="F43" s="47"/>
      <c r="G43" s="47"/>
      <c r="H43" s="48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6"/>
      <c r="C44" s="47"/>
      <c r="D44" s="47"/>
      <c r="E44" s="47"/>
      <c r="F44" s="47"/>
      <c r="G44" s="47"/>
      <c r="H44" s="48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49"/>
      <c r="C45" s="50"/>
      <c r="D45" s="50"/>
      <c r="E45" s="50"/>
      <c r="F45" s="50"/>
      <c r="G45" s="50"/>
      <c r="H45" s="51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16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71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73</v>
      </c>
      <c r="C9" s="56"/>
      <c r="D9" s="56"/>
      <c r="E9" s="56"/>
      <c r="F9" s="56"/>
      <c r="G9" s="56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7" t="s">
        <v>10</v>
      </c>
      <c r="C37" s="58"/>
      <c r="D37" s="58"/>
      <c r="E37" s="58"/>
      <c r="F37" s="58"/>
      <c r="G37" s="58"/>
      <c r="H37" s="59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6" t="s">
        <v>74</v>
      </c>
      <c r="C38" s="47"/>
      <c r="D38" s="47"/>
      <c r="E38" s="47"/>
      <c r="F38" s="47"/>
      <c r="G38" s="47"/>
      <c r="H38" s="48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0" t="s">
        <v>75</v>
      </c>
      <c r="C39" s="64"/>
      <c r="D39" s="64"/>
      <c r="E39" s="64"/>
      <c r="F39" s="64"/>
      <c r="G39" s="64"/>
      <c r="H39" s="48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0" t="s">
        <v>76</v>
      </c>
      <c r="C40" s="47"/>
      <c r="D40" s="47"/>
      <c r="E40" s="47"/>
      <c r="F40" s="47"/>
      <c r="G40" s="47"/>
      <c r="H40" s="4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0"/>
      <c r="C41" s="61"/>
      <c r="D41" s="61"/>
      <c r="E41" s="61"/>
      <c r="F41" s="61"/>
      <c r="G41" s="61"/>
      <c r="H41" s="6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9"/>
      <c r="C42" s="50"/>
      <c r="D42" s="50"/>
      <c r="E42" s="50"/>
      <c r="F42" s="50"/>
      <c r="G42" s="50"/>
      <c r="H42" s="51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78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79</v>
      </c>
      <c r="C9" s="56"/>
      <c r="D9" s="56"/>
      <c r="E9" s="56"/>
      <c r="F9" s="56"/>
      <c r="G9" s="56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5" t="s">
        <v>10</v>
      </c>
      <c r="C37" s="66"/>
      <c r="D37" s="66"/>
      <c r="E37" s="66"/>
      <c r="F37" s="66"/>
      <c r="G37" s="66"/>
      <c r="H37" s="67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6" t="s">
        <v>80</v>
      </c>
      <c r="C38" s="47"/>
      <c r="D38" s="47"/>
      <c r="E38" s="47"/>
      <c r="F38" s="47"/>
      <c r="G38" s="47"/>
      <c r="H38" s="48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0" t="s">
        <v>81</v>
      </c>
      <c r="C39" s="64"/>
      <c r="D39" s="64"/>
      <c r="E39" s="64"/>
      <c r="F39" s="64"/>
      <c r="G39" s="64"/>
      <c r="H39" s="48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0" t="s">
        <v>82</v>
      </c>
      <c r="C40" s="47"/>
      <c r="D40" s="47"/>
      <c r="E40" s="47"/>
      <c r="F40" s="47"/>
      <c r="G40" s="47"/>
      <c r="H40" s="4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0"/>
      <c r="C41" s="61"/>
      <c r="D41" s="61"/>
      <c r="E41" s="61"/>
      <c r="F41" s="61"/>
      <c r="G41" s="61"/>
      <c r="H41" s="6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9"/>
      <c r="C42" s="50"/>
      <c r="D42" s="50"/>
      <c r="E42" s="50"/>
      <c r="F42" s="50"/>
      <c r="G42" s="50"/>
      <c r="H42" s="51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88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84</v>
      </c>
      <c r="C9" s="56"/>
      <c r="D9" s="56"/>
      <c r="E9" s="56"/>
      <c r="F9" s="56"/>
      <c r="G9" s="56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5" t="s">
        <v>10</v>
      </c>
      <c r="C36" s="66"/>
      <c r="D36" s="66"/>
      <c r="E36" s="66"/>
      <c r="F36" s="66"/>
      <c r="G36" s="66"/>
      <c r="H36" s="6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6" t="s">
        <v>85</v>
      </c>
      <c r="C37" s="47"/>
      <c r="D37" s="47"/>
      <c r="E37" s="47"/>
      <c r="F37" s="47"/>
      <c r="G37" s="47"/>
      <c r="H37" s="4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60" t="s">
        <v>86</v>
      </c>
      <c r="C38" s="64"/>
      <c r="D38" s="64"/>
      <c r="E38" s="64"/>
      <c r="F38" s="64"/>
      <c r="G38" s="64"/>
      <c r="H38" s="48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60" t="s">
        <v>87</v>
      </c>
      <c r="C39" s="47"/>
      <c r="D39" s="47"/>
      <c r="E39" s="47"/>
      <c r="F39" s="47"/>
      <c r="G39" s="47"/>
      <c r="H39" s="48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60"/>
      <c r="C40" s="61"/>
      <c r="D40" s="61"/>
      <c r="E40" s="61"/>
      <c r="F40" s="61"/>
      <c r="G40" s="61"/>
      <c r="H40" s="6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49"/>
      <c r="C41" s="50"/>
      <c r="D41" s="50"/>
      <c r="E41" s="50"/>
      <c r="F41" s="50"/>
      <c r="G41" s="50"/>
      <c r="H41" s="51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B33" sqref="B33: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90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28</v>
      </c>
      <c r="C9" s="56"/>
      <c r="D9" s="56"/>
      <c r="E9" s="56"/>
      <c r="F9" s="56"/>
      <c r="G9" s="56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5" t="s">
        <v>10</v>
      </c>
      <c r="C33" s="66"/>
      <c r="D33" s="66"/>
      <c r="E33" s="66"/>
      <c r="F33" s="66"/>
      <c r="G33" s="66"/>
      <c r="H33" s="67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6" t="s">
        <v>91</v>
      </c>
      <c r="C34" s="47"/>
      <c r="D34" s="47"/>
      <c r="E34" s="47"/>
      <c r="F34" s="47"/>
      <c r="G34" s="47"/>
      <c r="H34" s="48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49"/>
      <c r="C35" s="50"/>
      <c r="D35" s="50"/>
      <c r="E35" s="50"/>
      <c r="F35" s="50"/>
      <c r="G35" s="50"/>
      <c r="H35" s="51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97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93</v>
      </c>
      <c r="C9" s="56"/>
      <c r="D9" s="56"/>
      <c r="E9" s="56"/>
      <c r="F9" s="56"/>
      <c r="G9" s="56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5" t="s">
        <v>10</v>
      </c>
      <c r="C33" s="66"/>
      <c r="D33" s="66"/>
      <c r="E33" s="66"/>
      <c r="F33" s="66"/>
      <c r="G33" s="66"/>
      <c r="H33" s="67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6" t="s">
        <v>94</v>
      </c>
      <c r="C34" s="47"/>
      <c r="D34" s="47"/>
      <c r="E34" s="47"/>
      <c r="F34" s="47"/>
      <c r="G34" s="47"/>
      <c r="H34" s="48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60" t="s">
        <v>95</v>
      </c>
      <c r="C35" s="61"/>
      <c r="D35" s="61"/>
      <c r="E35" s="61"/>
      <c r="F35" s="61"/>
      <c r="G35" s="61"/>
      <c r="H35" s="62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60" t="s">
        <v>96</v>
      </c>
      <c r="C36" s="47"/>
      <c r="D36" s="47"/>
      <c r="E36" s="47"/>
      <c r="F36" s="47"/>
      <c r="G36" s="47"/>
      <c r="H36" s="48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49"/>
      <c r="C37" s="50"/>
      <c r="D37" s="50"/>
      <c r="E37" s="50"/>
      <c r="F37" s="50"/>
      <c r="G37" s="50"/>
      <c r="H37" s="51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H31" sqref="H3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98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100</v>
      </c>
      <c r="C9" s="56"/>
      <c r="D9" s="56"/>
      <c r="E9" s="56"/>
      <c r="F9" s="56"/>
      <c r="G9" s="56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65" t="s">
        <v>10</v>
      </c>
      <c r="C32" s="66"/>
      <c r="D32" s="66"/>
      <c r="E32" s="66"/>
      <c r="F32" s="66"/>
      <c r="G32" s="66"/>
      <c r="H32" s="67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6" t="s">
        <v>102</v>
      </c>
      <c r="C33" s="47"/>
      <c r="D33" s="47"/>
      <c r="E33" s="47"/>
      <c r="F33" s="47"/>
      <c r="G33" s="47"/>
      <c r="H33" s="48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60" t="s">
        <v>101</v>
      </c>
      <c r="C34" s="68"/>
      <c r="D34" s="68"/>
      <c r="E34" s="68"/>
      <c r="F34" s="68"/>
      <c r="G34" s="68"/>
      <c r="H34" s="69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60"/>
      <c r="C35" s="68"/>
      <c r="D35" s="68"/>
      <c r="E35" s="68"/>
      <c r="F35" s="68"/>
      <c r="G35" s="68"/>
      <c r="H35" s="69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49"/>
      <c r="C36" s="50"/>
      <c r="D36" s="50"/>
      <c r="E36" s="50"/>
      <c r="F36" s="50"/>
      <c r="G36" s="50"/>
      <c r="H36" s="51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2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104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105</v>
      </c>
      <c r="C9" s="56"/>
      <c r="D9" s="56"/>
      <c r="E9" s="56"/>
      <c r="F9" s="56"/>
      <c r="G9" s="56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5" t="s">
        <v>10</v>
      </c>
      <c r="C33" s="66"/>
      <c r="D33" s="66"/>
      <c r="E33" s="66"/>
      <c r="F33" s="66"/>
      <c r="G33" s="66"/>
      <c r="H33" s="67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6" t="s">
        <v>106</v>
      </c>
      <c r="C34" s="47"/>
      <c r="D34" s="47"/>
      <c r="E34" s="47"/>
      <c r="F34" s="47"/>
      <c r="G34" s="47"/>
      <c r="H34" s="48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6" t="s">
        <v>107</v>
      </c>
      <c r="C35" s="70"/>
      <c r="D35" s="70"/>
      <c r="E35" s="70"/>
      <c r="F35" s="70"/>
      <c r="G35" s="70"/>
      <c r="H35" s="7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0" t="s">
        <v>108</v>
      </c>
      <c r="C36" s="68"/>
      <c r="D36" s="68"/>
      <c r="E36" s="68"/>
      <c r="F36" s="68"/>
      <c r="G36" s="68"/>
      <c r="H36" s="69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0"/>
      <c r="C37" s="68"/>
      <c r="D37" s="68"/>
      <c r="E37" s="68"/>
      <c r="F37" s="68"/>
      <c r="G37" s="68"/>
      <c r="H37" s="69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9"/>
      <c r="C38" s="50"/>
      <c r="D38" s="50"/>
      <c r="E38" s="50"/>
      <c r="F38" s="50"/>
      <c r="G38" s="50"/>
      <c r="H38" s="51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F782-2F74-4200-B933-42088F669477}">
  <dimension ref="A1:Z1002"/>
  <sheetViews>
    <sheetView topLeftCell="A4" zoomScale="110" zoomScaleNormal="110" workbookViewId="0">
      <selection activeCell="J38" sqref="J3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112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110</v>
      </c>
      <c r="C9" s="56"/>
      <c r="D9" s="56"/>
      <c r="E9" s="56"/>
      <c r="F9" s="56"/>
      <c r="G9" s="56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5" t="s">
        <v>10</v>
      </c>
      <c r="C33" s="66"/>
      <c r="D33" s="66"/>
      <c r="E33" s="66"/>
      <c r="F33" s="66"/>
      <c r="G33" s="66"/>
      <c r="H33" s="67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6" t="s">
        <v>113</v>
      </c>
      <c r="C34" s="47"/>
      <c r="D34" s="47"/>
      <c r="E34" s="47"/>
      <c r="F34" s="47"/>
      <c r="G34" s="47"/>
      <c r="H34" s="48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6" t="s">
        <v>111</v>
      </c>
      <c r="C35" s="70"/>
      <c r="D35" s="70"/>
      <c r="E35" s="70"/>
      <c r="F35" s="70"/>
      <c r="G35" s="70"/>
      <c r="H35" s="7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0"/>
      <c r="C36" s="68"/>
      <c r="D36" s="68"/>
      <c r="E36" s="68"/>
      <c r="F36" s="68"/>
      <c r="G36" s="68"/>
      <c r="H36" s="69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0"/>
      <c r="C37" s="68"/>
      <c r="D37" s="68"/>
      <c r="E37" s="68"/>
      <c r="F37" s="68"/>
      <c r="G37" s="68"/>
      <c r="H37" s="69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9"/>
      <c r="C38" s="50"/>
      <c r="D38" s="50"/>
      <c r="E38" s="50"/>
      <c r="F38" s="50"/>
      <c r="G38" s="50"/>
      <c r="H38" s="51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D1F6-0D64-4B59-9784-7C782E7D68D6}">
  <dimension ref="A1:Z1002"/>
  <sheetViews>
    <sheetView topLeftCell="A4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114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116</v>
      </c>
      <c r="C9" s="56"/>
      <c r="D9" s="56"/>
      <c r="E9" s="56"/>
      <c r="F9" s="56"/>
      <c r="G9" s="56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5" t="s">
        <v>10</v>
      </c>
      <c r="C33" s="66"/>
      <c r="D33" s="66"/>
      <c r="E33" s="66"/>
      <c r="F33" s="66"/>
      <c r="G33" s="66"/>
      <c r="H33" s="67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6" t="s">
        <v>119</v>
      </c>
      <c r="C34" s="47"/>
      <c r="D34" s="47"/>
      <c r="E34" s="47"/>
      <c r="F34" s="47"/>
      <c r="G34" s="47"/>
      <c r="H34" s="48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6" t="s">
        <v>117</v>
      </c>
      <c r="C35" s="70"/>
      <c r="D35" s="70"/>
      <c r="E35" s="70"/>
      <c r="F35" s="70"/>
      <c r="G35" s="70"/>
      <c r="H35" s="7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0" t="s">
        <v>118</v>
      </c>
      <c r="C36" s="68"/>
      <c r="D36" s="68"/>
      <c r="E36" s="68"/>
      <c r="F36" s="68"/>
      <c r="G36" s="68"/>
      <c r="H36" s="69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0"/>
      <c r="C37" s="68"/>
      <c r="D37" s="68"/>
      <c r="E37" s="68"/>
      <c r="F37" s="68"/>
      <c r="G37" s="68"/>
      <c r="H37" s="69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9"/>
      <c r="C38" s="50"/>
      <c r="D38" s="50"/>
      <c r="E38" s="50"/>
      <c r="F38" s="50"/>
      <c r="G38" s="50"/>
      <c r="H38" s="51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BE42-231C-41F5-ADD6-2D3A099433DA}">
  <dimension ref="A1:Z1004"/>
  <sheetViews>
    <sheetView topLeftCell="A4" zoomScale="110" zoomScaleNormal="110" workbookViewId="0">
      <selection activeCell="D32" sqref="D10:D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124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116</v>
      </c>
      <c r="C9" s="56"/>
      <c r="D9" s="56"/>
      <c r="E9" s="56"/>
      <c r="F9" s="56"/>
      <c r="G9" s="56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40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5" t="s">
        <v>10</v>
      </c>
      <c r="C35" s="66"/>
      <c r="D35" s="66"/>
      <c r="E35" s="66"/>
      <c r="F35" s="66"/>
      <c r="G35" s="66"/>
      <c r="H35" s="67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6" t="s">
        <v>122</v>
      </c>
      <c r="C36" s="47"/>
      <c r="D36" s="47"/>
      <c r="E36" s="47"/>
      <c r="F36" s="47"/>
      <c r="G36" s="47"/>
      <c r="H36" s="48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6" t="s">
        <v>120</v>
      </c>
      <c r="C37" s="70"/>
      <c r="D37" s="70"/>
      <c r="E37" s="70"/>
      <c r="F37" s="70"/>
      <c r="G37" s="70"/>
      <c r="H37" s="7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0" t="s">
        <v>121</v>
      </c>
      <c r="C38" s="68"/>
      <c r="D38" s="68"/>
      <c r="E38" s="68"/>
      <c r="F38" s="68"/>
      <c r="G38" s="68"/>
      <c r="H38" s="69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0"/>
      <c r="C39" s="68"/>
      <c r="D39" s="68"/>
      <c r="E39" s="68"/>
      <c r="F39" s="68"/>
      <c r="G39" s="68"/>
      <c r="H39" s="69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49"/>
      <c r="C40" s="50"/>
      <c r="D40" s="50"/>
      <c r="E40" s="50"/>
      <c r="F40" s="50"/>
      <c r="G40" s="50"/>
      <c r="H40" s="51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A27" sqref="A27:XFD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18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27</v>
      </c>
      <c r="C9" s="56"/>
      <c r="D9" s="56"/>
      <c r="E9" s="56"/>
      <c r="F9" s="56"/>
      <c r="G9" s="56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7" t="s">
        <v>10</v>
      </c>
      <c r="C38" s="58"/>
      <c r="D38" s="58"/>
      <c r="E38" s="58"/>
      <c r="F38" s="58"/>
      <c r="G38" s="58"/>
      <c r="H38" s="59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6" t="s">
        <v>21</v>
      </c>
      <c r="C39" s="47"/>
      <c r="D39" s="47"/>
      <c r="E39" s="47"/>
      <c r="F39" s="47"/>
      <c r="G39" s="47"/>
      <c r="H39" s="48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0" t="s">
        <v>22</v>
      </c>
      <c r="C40" s="47"/>
      <c r="D40" s="47"/>
      <c r="E40" s="47"/>
      <c r="F40" s="47"/>
      <c r="G40" s="47"/>
      <c r="H40" s="4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0" t="s">
        <v>23</v>
      </c>
      <c r="C41" s="47"/>
      <c r="D41" s="47"/>
      <c r="E41" s="47"/>
      <c r="F41" s="47"/>
      <c r="G41" s="47"/>
      <c r="H41" s="48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6"/>
      <c r="C42" s="47"/>
      <c r="D42" s="47"/>
      <c r="E42" s="47"/>
      <c r="F42" s="47"/>
      <c r="G42" s="47"/>
      <c r="H42" s="48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9"/>
      <c r="C43" s="50"/>
      <c r="D43" s="50"/>
      <c r="E43" s="50"/>
      <c r="F43" s="50"/>
      <c r="G43" s="50"/>
      <c r="H43" s="51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9D56D-6545-4216-8E79-B771F00A331F}">
  <dimension ref="A1:Z1004"/>
  <sheetViews>
    <sheetView topLeftCell="A7" zoomScale="110" zoomScaleNormal="110" workbookViewId="0">
      <selection activeCell="K37" sqref="K3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130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126</v>
      </c>
      <c r="C9" s="56"/>
      <c r="D9" s="56"/>
      <c r="E9" s="56"/>
      <c r="F9" s="56"/>
      <c r="G9" s="56"/>
      <c r="H9" s="12">
        <f>+'07-2025'!H34</f>
        <v>5260.165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45870</v>
      </c>
      <c r="C10" s="13" t="s">
        <v>8</v>
      </c>
      <c r="D10" s="23">
        <f>6748.82+1556</f>
        <v>8304.82</v>
      </c>
      <c r="E10" s="23">
        <f>D10-F10</f>
        <v>6228.6149999999998</v>
      </c>
      <c r="F10" s="23">
        <f>+D10*0.25</f>
        <v>2076.2049999999999</v>
      </c>
      <c r="G10" s="23">
        <f>1687.16+389</f>
        <v>2076.16</v>
      </c>
      <c r="H10" s="12">
        <f>H9+F10-G10</f>
        <v>5260.21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45873</v>
      </c>
      <c r="C11" s="13" t="s">
        <v>8</v>
      </c>
      <c r="D11" s="23">
        <f>7733.63+901.86</f>
        <v>8635.49</v>
      </c>
      <c r="E11" s="23">
        <f t="shared" ref="E11:E32" si="1">D11-F11</f>
        <v>6476.6175000000003</v>
      </c>
      <c r="F11" s="23">
        <f>+D11*0.25</f>
        <v>2158.8724999999999</v>
      </c>
      <c r="G11" s="23">
        <f>1933.37+225.46</f>
        <v>2158.83</v>
      </c>
      <c r="H11" s="12">
        <f t="shared" ref="H11:H31" si="2">H10+F11-G11</f>
        <v>5260.2525000000005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45874</v>
      </c>
      <c r="C12" s="13" t="s">
        <v>8</v>
      </c>
      <c r="D12" s="23">
        <f>6232.26+163</f>
        <v>6395.26</v>
      </c>
      <c r="E12" s="23">
        <f t="shared" si="1"/>
        <v>4796.4449999999997</v>
      </c>
      <c r="F12" s="23">
        <f t="shared" ref="F12:F33" si="3">+D12*0.25</f>
        <v>1598.8150000000001</v>
      </c>
      <c r="G12" s="23">
        <f>1558.05+40.75</f>
        <v>1598.8</v>
      </c>
      <c r="H12" s="12">
        <f t="shared" si="2"/>
        <v>5260.2675000000008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45875</v>
      </c>
      <c r="C13" s="13" t="s">
        <v>8</v>
      </c>
      <c r="D13" s="23">
        <f>6558.49+873.01</f>
        <v>7431.5</v>
      </c>
      <c r="E13" s="23">
        <f>D13-F13</f>
        <v>5573.625</v>
      </c>
      <c r="F13" s="23">
        <f>+D13*0.25</f>
        <v>1857.875</v>
      </c>
      <c r="G13" s="23">
        <f>1639.58+218.24</f>
        <v>1857.82</v>
      </c>
      <c r="H13" s="12">
        <f t="shared" si="2"/>
        <v>5260.3225000000011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45876</v>
      </c>
      <c r="C14" s="13" t="s">
        <v>8</v>
      </c>
      <c r="D14" s="23">
        <f>2437.64+652</f>
        <v>3089.64</v>
      </c>
      <c r="E14" s="23">
        <f t="shared" si="1"/>
        <v>2317.23</v>
      </c>
      <c r="F14" s="23">
        <f t="shared" si="3"/>
        <v>772.41</v>
      </c>
      <c r="G14" s="23">
        <f>609.38+163</f>
        <v>772.38</v>
      </c>
      <c r="H14" s="12">
        <f t="shared" si="2"/>
        <v>5260.3525000000009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45877</v>
      </c>
      <c r="C15" s="13" t="s">
        <v>8</v>
      </c>
      <c r="D15" s="23">
        <f>7210.78+1799</f>
        <v>9009.7799999999988</v>
      </c>
      <c r="E15" s="23">
        <f t="shared" si="1"/>
        <v>6757.3349999999991</v>
      </c>
      <c r="F15" s="23">
        <f t="shared" si="3"/>
        <v>2252.4449999999997</v>
      </c>
      <c r="G15" s="23">
        <f>1802.66+449.75</f>
        <v>2252.41</v>
      </c>
      <c r="H15" s="12">
        <f t="shared" si="2"/>
        <v>5260.3875000000007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45880</v>
      </c>
      <c r="C16" s="13" t="s">
        <v>8</v>
      </c>
      <c r="D16" s="23">
        <f>5044.5+5457</f>
        <v>10501.5</v>
      </c>
      <c r="E16" s="23">
        <f t="shared" si="1"/>
        <v>7876.125</v>
      </c>
      <c r="F16" s="23">
        <f t="shared" si="3"/>
        <v>2625.375</v>
      </c>
      <c r="G16" s="23">
        <f>1261.1+1364.25</f>
        <v>2625.35</v>
      </c>
      <c r="H16" s="12">
        <f t="shared" si="2"/>
        <v>5260.4125000000004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45881</v>
      </c>
      <c r="C17" s="13" t="s">
        <v>8</v>
      </c>
      <c r="D17" s="23">
        <f>12180.27+1378.9</f>
        <v>13559.17</v>
      </c>
      <c r="E17" s="23">
        <f t="shared" si="1"/>
        <v>10169.377500000001</v>
      </c>
      <c r="F17" s="23">
        <f t="shared" si="3"/>
        <v>3389.7925</v>
      </c>
      <c r="G17" s="23">
        <f>3044.99+344.71</f>
        <v>3389.7</v>
      </c>
      <c r="H17" s="12">
        <f t="shared" si="2"/>
        <v>5260.5050000000001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45882</v>
      </c>
      <c r="C18" s="13" t="s">
        <v>8</v>
      </c>
      <c r="D18" s="23">
        <f>3302.81+655</f>
        <v>3957.81</v>
      </c>
      <c r="E18" s="23">
        <f t="shared" si="1"/>
        <v>2968.3575000000001</v>
      </c>
      <c r="F18" s="23">
        <f t="shared" si="3"/>
        <v>989.45249999999999</v>
      </c>
      <c r="G18" s="23">
        <f>825.69+163.75</f>
        <v>989.44</v>
      </c>
      <c r="H18" s="12">
        <f t="shared" si="2"/>
        <v>5260.5174999999999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45883</v>
      </c>
      <c r="C19" s="13" t="s">
        <v>8</v>
      </c>
      <c r="D19" s="23">
        <f>2066.1+449</f>
        <v>2515.1</v>
      </c>
      <c r="E19" s="23">
        <f t="shared" si="1"/>
        <v>1886.3249999999998</v>
      </c>
      <c r="F19" s="23">
        <f t="shared" si="3"/>
        <v>628.77499999999998</v>
      </c>
      <c r="G19" s="23">
        <f>516.51+112.25</f>
        <v>628.76</v>
      </c>
      <c r="H19" s="12">
        <f t="shared" si="2"/>
        <v>5260.5324999999993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45884</v>
      </c>
      <c r="C20" s="13" t="s">
        <v>8</v>
      </c>
      <c r="D20" s="23">
        <f>8019.27+815.14</f>
        <v>8834.41</v>
      </c>
      <c r="E20" s="23">
        <f t="shared" si="1"/>
        <v>6625.8074999999999</v>
      </c>
      <c r="F20" s="23">
        <f t="shared" si="3"/>
        <v>2208.6025</v>
      </c>
      <c r="G20" s="23">
        <f>2004.75+203.78</f>
        <v>2208.5300000000002</v>
      </c>
      <c r="H20" s="12">
        <f t="shared" si="2"/>
        <v>5260.6049999999996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45887</v>
      </c>
      <c r="C21" s="13" t="s">
        <v>8</v>
      </c>
      <c r="D21" s="23">
        <f>4410.31+2339.69</f>
        <v>6750</v>
      </c>
      <c r="E21" s="23">
        <f t="shared" si="1"/>
        <v>5062.5</v>
      </c>
      <c r="F21" s="23">
        <f t="shared" si="3"/>
        <v>1687.5</v>
      </c>
      <c r="G21" s="23">
        <f>1102.55+584.92</f>
        <v>1687.4699999999998</v>
      </c>
      <c r="H21" s="12">
        <f>H20+F21-G21</f>
        <v>5260.6350000000002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45888</v>
      </c>
      <c r="C22" s="13" t="s">
        <v>8</v>
      </c>
      <c r="D22" s="23">
        <f>5596.98+1801</f>
        <v>7397.98</v>
      </c>
      <c r="E22" s="23">
        <f t="shared" si="1"/>
        <v>5548.4849999999997</v>
      </c>
      <c r="F22" s="23">
        <f t="shared" si="3"/>
        <v>1849.4949999999999</v>
      </c>
      <c r="G22" s="23">
        <f>1399.2+450.25</f>
        <v>1849.45</v>
      </c>
      <c r="H22" s="12">
        <f t="shared" si="2"/>
        <v>5260.68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45889</v>
      </c>
      <c r="C23" s="13" t="s">
        <v>8</v>
      </c>
      <c r="D23" s="23">
        <f>2742.15+1928.7</f>
        <v>4670.8500000000004</v>
      </c>
      <c r="E23" s="23">
        <f t="shared" si="1"/>
        <v>3503.1375000000003</v>
      </c>
      <c r="F23" s="23">
        <f t="shared" si="3"/>
        <v>1167.7125000000001</v>
      </c>
      <c r="G23" s="23">
        <f>685.52+482.17</f>
        <v>1167.69</v>
      </c>
      <c r="H23" s="12">
        <f t="shared" si="2"/>
        <v>5260.7024999999994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45890</v>
      </c>
      <c r="C24" s="13" t="s">
        <v>8</v>
      </c>
      <c r="D24" s="23">
        <f>5160.97+326</f>
        <v>5486.97</v>
      </c>
      <c r="E24" s="23">
        <f t="shared" si="1"/>
        <v>4115.2275</v>
      </c>
      <c r="F24" s="23">
        <f t="shared" si="3"/>
        <v>1371.7425000000001</v>
      </c>
      <c r="G24" s="23">
        <f>1290.21+81.5</f>
        <v>1371.71</v>
      </c>
      <c r="H24" s="12">
        <f>H23+F24-G24</f>
        <v>5260.7349999999997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45891</v>
      </c>
      <c r="C25" s="13" t="s">
        <v>8</v>
      </c>
      <c r="D25" s="23">
        <f>2094.88+2364</f>
        <v>4458.88</v>
      </c>
      <c r="E25" s="23">
        <f t="shared" si="1"/>
        <v>3344.16</v>
      </c>
      <c r="F25" s="23">
        <f t="shared" si="3"/>
        <v>1114.72</v>
      </c>
      <c r="G25" s="23">
        <f>523.71+591</f>
        <v>1114.71</v>
      </c>
      <c r="H25" s="12">
        <f>H24+F25-G25</f>
        <v>5260.7449999999999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45894</v>
      </c>
      <c r="C26" s="13" t="s">
        <v>8</v>
      </c>
      <c r="D26" s="23">
        <f>7613.89+489</f>
        <v>8102.89</v>
      </c>
      <c r="E26" s="23">
        <f t="shared" si="1"/>
        <v>6077.1675000000005</v>
      </c>
      <c r="F26" s="23">
        <f t="shared" si="3"/>
        <v>2025.7225000000001</v>
      </c>
      <c r="G26" s="23">
        <f>1903.46+122.25</f>
        <v>2025.71</v>
      </c>
      <c r="H26" s="12">
        <f t="shared" si="2"/>
        <v>5260.7574999999997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45895</v>
      </c>
      <c r="C27" s="13" t="s">
        <v>8</v>
      </c>
      <c r="D27" s="23">
        <f>8640.15+1473</f>
        <v>10113.15</v>
      </c>
      <c r="E27" s="23">
        <f t="shared" si="1"/>
        <v>7584.8624999999993</v>
      </c>
      <c r="F27" s="23">
        <f t="shared" si="3"/>
        <v>2528.2874999999999</v>
      </c>
      <c r="G27" s="23">
        <f>2159.99+368.25</f>
        <v>2528.2399999999998</v>
      </c>
      <c r="H27" s="12">
        <f t="shared" si="2"/>
        <v>5260.8050000000003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45896</v>
      </c>
      <c r="C28" s="13" t="s">
        <v>8</v>
      </c>
      <c r="D28" s="23">
        <f>4487.03+2088</f>
        <v>6575.03</v>
      </c>
      <c r="E28" s="23">
        <f t="shared" si="1"/>
        <v>4931.2725</v>
      </c>
      <c r="F28" s="23">
        <f t="shared" si="3"/>
        <v>1643.7574999999999</v>
      </c>
      <c r="G28" s="23">
        <f>1121.75+522</f>
        <v>1643.75</v>
      </c>
      <c r="H28" s="12">
        <f t="shared" si="2"/>
        <v>5260.8125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45897</v>
      </c>
      <c r="C29" s="13" t="s">
        <v>8</v>
      </c>
      <c r="D29" s="38">
        <f>5448.84+2870</f>
        <v>8318.84</v>
      </c>
      <c r="E29" s="23">
        <f t="shared" si="1"/>
        <v>6239.13</v>
      </c>
      <c r="F29" s="23">
        <f t="shared" si="3"/>
        <v>2079.71</v>
      </c>
      <c r="G29" s="23">
        <f>1362.2+717.5</f>
        <v>2079.6999999999998</v>
      </c>
      <c r="H29" s="12">
        <f t="shared" si="2"/>
        <v>5260.8225000000002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45898</v>
      </c>
      <c r="C30" s="13" t="s">
        <v>8</v>
      </c>
      <c r="D30" s="38">
        <f>7097.31+941</f>
        <v>8038.31</v>
      </c>
      <c r="E30" s="23">
        <f t="shared" si="1"/>
        <v>6028.7325000000001</v>
      </c>
      <c r="F30" s="23">
        <f t="shared" si="3"/>
        <v>2009.5775000000001</v>
      </c>
      <c r="G30" s="23">
        <f>1774.28+235.25</f>
        <v>2009.53</v>
      </c>
      <c r="H30" s="12">
        <f t="shared" si="2"/>
        <v>5260.8700000000008</v>
      </c>
      <c r="I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45900</v>
      </c>
      <c r="C31" s="13" t="s">
        <v>8</v>
      </c>
      <c r="D31" s="38">
        <v>11341.88</v>
      </c>
      <c r="E31" s="23">
        <f t="shared" si="1"/>
        <v>8506.41</v>
      </c>
      <c r="F31" s="23">
        <f t="shared" si="3"/>
        <v>2835.47</v>
      </c>
      <c r="G31" s="23">
        <v>0</v>
      </c>
      <c r="H31" s="12">
        <f t="shared" si="2"/>
        <v>8096.34</v>
      </c>
      <c r="I31" s="31"/>
      <c r="J31" s="40">
        <f>H30-H9</f>
        <v>0.70500000000083674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hidden="1" customHeight="1" x14ac:dyDescent="0.25">
      <c r="A32" s="31"/>
      <c r="B32" s="22"/>
      <c r="C32" s="13" t="s">
        <v>8</v>
      </c>
      <c r="D32" s="38">
        <v>0</v>
      </c>
      <c r="E32" s="23">
        <f t="shared" si="1"/>
        <v>0</v>
      </c>
      <c r="F32" s="23">
        <f t="shared" si="3"/>
        <v>0</v>
      </c>
      <c r="G32" s="23">
        <v>0</v>
      </c>
      <c r="H32" s="12">
        <f>H31+F32-G32</f>
        <v>8096.34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hidden="1" customHeight="1" x14ac:dyDescent="0.25">
      <c r="B33" s="22"/>
      <c r="C33" s="13" t="s">
        <v>11</v>
      </c>
      <c r="D33" s="38">
        <v>0</v>
      </c>
      <c r="E33" s="23">
        <f>D33-F33</f>
        <v>0</v>
      </c>
      <c r="F33" s="23">
        <f t="shared" si="3"/>
        <v>0</v>
      </c>
      <c r="G33" s="23">
        <v>0</v>
      </c>
      <c r="H33" s="12">
        <f>H32+F33-G33</f>
        <v>8096.34</v>
      </c>
      <c r="I33" s="31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163489.26</v>
      </c>
      <c r="E34" s="20">
        <f>SUM(E10:E33)</f>
        <v>122616.94499999999</v>
      </c>
      <c r="F34" s="20">
        <f>SUM(F10:F33)</f>
        <v>40872.315000000002</v>
      </c>
      <c r="G34" s="14">
        <f>SUM(G10:G33)</f>
        <v>38036.139999999992</v>
      </c>
      <c r="H34" s="12">
        <f>+H33</f>
        <v>8096.34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5" t="s">
        <v>10</v>
      </c>
      <c r="C35" s="66"/>
      <c r="D35" s="66"/>
      <c r="E35" s="66"/>
      <c r="F35" s="66"/>
      <c r="G35" s="66"/>
      <c r="H35" s="67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6" t="s">
        <v>127</v>
      </c>
      <c r="C36" s="47"/>
      <c r="D36" s="47"/>
      <c r="E36" s="47"/>
      <c r="F36" s="47"/>
      <c r="G36" s="47"/>
      <c r="H36" s="48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6" t="s">
        <v>141</v>
      </c>
      <c r="C37" s="70"/>
      <c r="D37" s="70"/>
      <c r="E37" s="70"/>
      <c r="F37" s="70"/>
      <c r="G37" s="70"/>
      <c r="H37" s="7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0" t="s">
        <v>129</v>
      </c>
      <c r="C38" s="68"/>
      <c r="D38" s="68"/>
      <c r="E38" s="68"/>
      <c r="F38" s="68"/>
      <c r="G38" s="68"/>
      <c r="H38" s="69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0"/>
      <c r="C39" s="68"/>
      <c r="D39" s="68"/>
      <c r="E39" s="68"/>
      <c r="F39" s="68"/>
      <c r="G39" s="68"/>
      <c r="H39" s="69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49"/>
      <c r="C40" s="50"/>
      <c r="D40" s="50"/>
      <c r="E40" s="50"/>
      <c r="F40" s="50"/>
      <c r="G40" s="50"/>
      <c r="H40" s="51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3BE79-B111-4F00-B43B-93BB820E1641}">
  <dimension ref="A1:XFD1004"/>
  <sheetViews>
    <sheetView topLeftCell="A8" zoomScale="110" zoomScaleNormal="110" workbookViewId="0">
      <selection activeCell="D28" sqref="D2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132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133</v>
      </c>
      <c r="C9" s="56"/>
      <c r="D9" s="56"/>
      <c r="E9" s="56"/>
      <c r="F9" s="56"/>
      <c r="G9" s="56"/>
      <c r="H9" s="12">
        <v>2836.18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45901</v>
      </c>
      <c r="C10" s="13" t="s">
        <v>8</v>
      </c>
      <c r="D10" s="23">
        <f>16145.37+1915.1</f>
        <v>18060.47</v>
      </c>
      <c r="E10" s="23">
        <f>D10-F10</f>
        <v>13545.352500000001</v>
      </c>
      <c r="F10" s="23">
        <f>+D10*0.25</f>
        <v>4515.1175000000003</v>
      </c>
      <c r="G10" s="23">
        <f>4036.22+478.76</f>
        <v>4514.9799999999996</v>
      </c>
      <c r="H10" s="12">
        <f>H9+F10-G10</f>
        <v>2836.317500000001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45902</v>
      </c>
      <c r="C11" s="13" t="s">
        <v>8</v>
      </c>
      <c r="D11" s="23">
        <f>33593.84+163</f>
        <v>33756.839999999997</v>
      </c>
      <c r="E11" s="23">
        <f t="shared" ref="E11:E33" si="1">D11-F11</f>
        <v>25317.629999999997</v>
      </c>
      <c r="F11" s="23">
        <f>+D11*0.25</f>
        <v>8439.2099999999991</v>
      </c>
      <c r="G11" s="23">
        <f>8398.16+40.75</f>
        <v>8438.91</v>
      </c>
      <c r="H11" s="12">
        <f t="shared" ref="H11:H31" si="2">H10+F11-G11</f>
        <v>2836.6175000000003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45903</v>
      </c>
      <c r="C12" s="13" t="s">
        <v>8</v>
      </c>
      <c r="D12" s="23">
        <f>3825.18+1267</f>
        <v>5092.18</v>
      </c>
      <c r="E12" s="23">
        <f t="shared" si="1"/>
        <v>3819.1350000000002</v>
      </c>
      <c r="F12" s="23">
        <f t="shared" ref="F12:F33" si="3">+D12*0.25</f>
        <v>1273.0450000000001</v>
      </c>
      <c r="G12" s="23">
        <f>956.25+316.75</f>
        <v>1273</v>
      </c>
      <c r="H12" s="12">
        <f t="shared" si="2"/>
        <v>2836.6625000000004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45904</v>
      </c>
      <c r="C13" s="13" t="s">
        <v>8</v>
      </c>
      <c r="D13" s="23">
        <f>6057.69+286</f>
        <v>6343.69</v>
      </c>
      <c r="E13" s="23">
        <f>D13-F13</f>
        <v>4757.7674999999999</v>
      </c>
      <c r="F13" s="23">
        <f>+D13*0.25</f>
        <v>1585.9224999999999</v>
      </c>
      <c r="G13" s="23">
        <f>1514.4+71.5</f>
        <v>1585.9</v>
      </c>
      <c r="H13" s="12">
        <f t="shared" si="2"/>
        <v>2836.6849999999999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45905</v>
      </c>
      <c r="C14" s="13" t="s">
        <v>8</v>
      </c>
      <c r="D14" s="23">
        <f>10306.58+1187</f>
        <v>11493.58</v>
      </c>
      <c r="E14" s="23">
        <f t="shared" si="1"/>
        <v>8620.1849999999995</v>
      </c>
      <c r="F14" s="23">
        <f t="shared" si="3"/>
        <v>2873.395</v>
      </c>
      <c r="G14" s="23">
        <f>2576.58+296.75</f>
        <v>2873.33</v>
      </c>
      <c r="H14" s="12">
        <f t="shared" si="2"/>
        <v>2836.75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45908</v>
      </c>
      <c r="C15" s="13" t="s">
        <v>8</v>
      </c>
      <c r="D15" s="23">
        <f>22149.92+489</f>
        <v>22638.92</v>
      </c>
      <c r="E15" s="23">
        <f t="shared" si="1"/>
        <v>16979.189999999999</v>
      </c>
      <c r="F15" s="23">
        <f t="shared" si="3"/>
        <v>5659.73</v>
      </c>
      <c r="G15" s="23">
        <f>5537.42+122.25</f>
        <v>5659.67</v>
      </c>
      <c r="H15" s="12">
        <f t="shared" si="2"/>
        <v>2836.8099999999995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45909</v>
      </c>
      <c r="C16" s="13" t="s">
        <v>8</v>
      </c>
      <c r="D16" s="23">
        <f>3555.75+1702.66</f>
        <v>5258.41</v>
      </c>
      <c r="E16" s="23">
        <f t="shared" si="1"/>
        <v>3943.8074999999999</v>
      </c>
      <c r="F16" s="23">
        <f t="shared" si="3"/>
        <v>1314.6025</v>
      </c>
      <c r="G16" s="23">
        <f>888.89+425.66</f>
        <v>1314.55</v>
      </c>
      <c r="H16" s="12">
        <f t="shared" si="2"/>
        <v>2836.8624999999993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45910</v>
      </c>
      <c r="C17" s="13" t="s">
        <v>8</v>
      </c>
      <c r="D17" s="23">
        <f>4355.35+2703</f>
        <v>7058.35</v>
      </c>
      <c r="E17" s="23">
        <f t="shared" si="1"/>
        <v>5293.7625000000007</v>
      </c>
      <c r="F17" s="23">
        <f t="shared" si="3"/>
        <v>1764.5875000000001</v>
      </c>
      <c r="G17" s="23">
        <f>1088.8+675.75</f>
        <v>1764.55</v>
      </c>
      <c r="H17" s="12">
        <f t="shared" si="2"/>
        <v>2836.8999999999987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45911</v>
      </c>
      <c r="C18" s="13" t="s">
        <v>8</v>
      </c>
      <c r="D18" s="23">
        <f>5799.89+453.19</f>
        <v>6253.08</v>
      </c>
      <c r="E18" s="23">
        <f t="shared" si="1"/>
        <v>4689.8099999999995</v>
      </c>
      <c r="F18" s="23">
        <f t="shared" si="3"/>
        <v>1563.27</v>
      </c>
      <c r="G18" s="23">
        <f>1449.89+113.29</f>
        <v>1563.18</v>
      </c>
      <c r="H18" s="12">
        <f t="shared" si="2"/>
        <v>2836.989999999998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45912</v>
      </c>
      <c r="C19" s="13" t="s">
        <v>8</v>
      </c>
      <c r="D19" s="23">
        <f>1062.61+1369.59</f>
        <v>2432.1999999999998</v>
      </c>
      <c r="E19" s="23">
        <f t="shared" si="1"/>
        <v>1824.1499999999999</v>
      </c>
      <c r="F19" s="23">
        <f t="shared" si="3"/>
        <v>608.04999999999995</v>
      </c>
      <c r="G19" s="23">
        <f>265.64+342.39</f>
        <v>608.03</v>
      </c>
      <c r="H19" s="12">
        <f t="shared" si="2"/>
        <v>2837.0099999999984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45915</v>
      </c>
      <c r="C20" s="13" t="s">
        <v>8</v>
      </c>
      <c r="D20" s="23">
        <f>3061.5+163</f>
        <v>3224.5</v>
      </c>
      <c r="E20" s="23">
        <f t="shared" si="1"/>
        <v>2418.375</v>
      </c>
      <c r="F20" s="23">
        <f t="shared" si="3"/>
        <v>806.125</v>
      </c>
      <c r="G20" s="23">
        <f>765.35+40.75</f>
        <v>806.1</v>
      </c>
      <c r="H20" s="12">
        <f t="shared" si="2"/>
        <v>2837.0349999999985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45916</v>
      </c>
      <c r="C21" s="13" t="s">
        <v>8</v>
      </c>
      <c r="D21" s="23">
        <f>8133.7+612</f>
        <v>8745.7000000000007</v>
      </c>
      <c r="E21" s="23">
        <f t="shared" si="1"/>
        <v>6559.2750000000005</v>
      </c>
      <c r="F21" s="23">
        <f t="shared" si="3"/>
        <v>2186.4250000000002</v>
      </c>
      <c r="G21" s="23">
        <f>2033.37+153</f>
        <v>2186.37</v>
      </c>
      <c r="H21" s="12">
        <f>H20+F21-G21</f>
        <v>2837.0899999999992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45917</v>
      </c>
      <c r="C22" s="13" t="s">
        <v>8</v>
      </c>
      <c r="D22" s="23">
        <f>7758.95+652</f>
        <v>8410.9500000000007</v>
      </c>
      <c r="E22" s="23">
        <f t="shared" si="1"/>
        <v>6308.2125000000005</v>
      </c>
      <c r="F22" s="23">
        <f t="shared" si="3"/>
        <v>2102.7375000000002</v>
      </c>
      <c r="G22" s="23">
        <f>1939.71+163</f>
        <v>2102.71</v>
      </c>
      <c r="H22" s="12">
        <f t="shared" si="2"/>
        <v>2837.1174999999994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45918</v>
      </c>
      <c r="C23" s="13" t="s">
        <v>8</v>
      </c>
      <c r="D23" s="23">
        <f>5006.79+326</f>
        <v>5332.79</v>
      </c>
      <c r="E23" s="23">
        <f t="shared" si="1"/>
        <v>3999.5924999999997</v>
      </c>
      <c r="F23" s="23">
        <f t="shared" si="3"/>
        <v>1333.1975</v>
      </c>
      <c r="G23" s="23">
        <f>1251.68+81.5</f>
        <v>1333.18</v>
      </c>
      <c r="H23" s="12">
        <f t="shared" si="2"/>
        <v>2837.1349999999993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45919</v>
      </c>
      <c r="C24" s="13" t="s">
        <v>8</v>
      </c>
      <c r="D24" s="23">
        <f>4984.45+326</f>
        <v>5310.45</v>
      </c>
      <c r="E24" s="23">
        <f t="shared" si="1"/>
        <v>3982.8374999999996</v>
      </c>
      <c r="F24" s="23">
        <f t="shared" si="3"/>
        <v>1327.6125</v>
      </c>
      <c r="G24" s="23">
        <f>1246.1+81.5</f>
        <v>1327.6</v>
      </c>
      <c r="H24" s="12">
        <f>H23+F24-G24</f>
        <v>2837.1474999999996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45922</v>
      </c>
      <c r="C25" s="13" t="s">
        <v>8</v>
      </c>
      <c r="D25" s="23">
        <f>2793.4+906</f>
        <v>3699.4</v>
      </c>
      <c r="E25" s="23">
        <f t="shared" si="1"/>
        <v>2774.55</v>
      </c>
      <c r="F25" s="23">
        <f t="shared" si="3"/>
        <v>924.85</v>
      </c>
      <c r="G25" s="23">
        <f>698.34+226.5</f>
        <v>924.84</v>
      </c>
      <c r="H25" s="12">
        <f>H24+F25-G25</f>
        <v>2837.1574999999993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45923</v>
      </c>
      <c r="C26" s="13" t="s">
        <v>8</v>
      </c>
      <c r="D26" s="23">
        <f>9440.19</f>
        <v>9440.19</v>
      </c>
      <c r="E26" s="23">
        <f t="shared" si="1"/>
        <v>7080.1424999999999</v>
      </c>
      <c r="F26" s="23">
        <f t="shared" si="3"/>
        <v>2360.0475000000001</v>
      </c>
      <c r="G26" s="23">
        <f>2359.99</f>
        <v>2359.9899999999998</v>
      </c>
      <c r="H26" s="12">
        <f t="shared" si="2"/>
        <v>2837.2150000000001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45924</v>
      </c>
      <c r="C27" s="13" t="s">
        <v>8</v>
      </c>
      <c r="D27" s="23">
        <f>8179.06+326</f>
        <v>8505.0600000000013</v>
      </c>
      <c r="E27" s="23">
        <f>D27-F27</f>
        <v>6378.795000000001</v>
      </c>
      <c r="F27" s="23">
        <f t="shared" si="3"/>
        <v>2126.2650000000003</v>
      </c>
      <c r="G27" s="23">
        <f>2044.75+81.5</f>
        <v>2126.25</v>
      </c>
      <c r="H27" s="12">
        <f t="shared" si="2"/>
        <v>2837.2300000000005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32" t="s">
        <v>12</v>
      </c>
      <c r="B28" s="42">
        <v>45924</v>
      </c>
      <c r="C28" s="43" t="s">
        <v>11</v>
      </c>
      <c r="D28" s="44">
        <v>11341.88</v>
      </c>
      <c r="E28" s="45">
        <f>D28-F28</f>
        <v>8506.41</v>
      </c>
      <c r="F28" s="45">
        <f t="shared" si="3"/>
        <v>2835.47</v>
      </c>
      <c r="G28" s="45">
        <v>2836.18</v>
      </c>
      <c r="H28" s="41">
        <f t="shared" si="2"/>
        <v>2836.5200000000009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 16384:16384" ht="15.75" customHeight="1" x14ac:dyDescent="0.25">
      <c r="A29" s="2"/>
      <c r="B29" s="22">
        <f>B27+(MOD(B27,7)=6)*2+1</f>
        <v>45925</v>
      </c>
      <c r="C29" s="13" t="s">
        <v>8</v>
      </c>
      <c r="D29" s="23">
        <f>1187.76+615</f>
        <v>1802.76</v>
      </c>
      <c r="E29" s="23">
        <f t="shared" si="1"/>
        <v>1352.07</v>
      </c>
      <c r="F29" s="23">
        <f t="shared" si="3"/>
        <v>450.69</v>
      </c>
      <c r="G29" s="23">
        <f>296.93+153.75</f>
        <v>450.68</v>
      </c>
      <c r="H29" s="12">
        <f t="shared" si="2"/>
        <v>2836.5300000000011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52817.73</v>
      </c>
    </row>
    <row r="30" spans="1:26 16384:16384" ht="15.75" customHeight="1" x14ac:dyDescent="0.25">
      <c r="A30" s="31"/>
      <c r="B30" s="22">
        <f t="shared" si="0"/>
        <v>45926</v>
      </c>
      <c r="C30" s="13" t="s">
        <v>8</v>
      </c>
      <c r="D30" s="38">
        <f>4260.07+492</f>
        <v>4752.07</v>
      </c>
      <c r="E30" s="23">
        <f t="shared" si="1"/>
        <v>3564.0524999999998</v>
      </c>
      <c r="F30" s="23">
        <f t="shared" si="3"/>
        <v>1188.0174999999999</v>
      </c>
      <c r="G30" s="23">
        <f>1064.99+123</f>
        <v>1187.99</v>
      </c>
      <c r="H30" s="12">
        <f t="shared" si="2"/>
        <v>2836.5575000000008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 t="shared" si="0"/>
        <v>45929</v>
      </c>
      <c r="C31" s="13" t="s">
        <v>8</v>
      </c>
      <c r="D31" s="38">
        <f>3384.03+978</f>
        <v>4362.0300000000007</v>
      </c>
      <c r="E31" s="23">
        <f t="shared" si="1"/>
        <v>3271.5225000000005</v>
      </c>
      <c r="F31" s="23">
        <f t="shared" si="3"/>
        <v>1090.5075000000002</v>
      </c>
      <c r="G31" s="23">
        <f>845.97+244.5</f>
        <v>1090.47</v>
      </c>
      <c r="H31" s="12">
        <f t="shared" si="2"/>
        <v>2836.5950000000012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45930</v>
      </c>
      <c r="C32" s="13" t="s">
        <v>8</v>
      </c>
      <c r="D32" s="38">
        <f>10218.75+1442.77</f>
        <v>11661.52</v>
      </c>
      <c r="E32" s="23">
        <f t="shared" si="1"/>
        <v>8746.14</v>
      </c>
      <c r="F32" s="23">
        <f t="shared" si="3"/>
        <v>2915.38</v>
      </c>
      <c r="G32" s="23">
        <f>2554.58+360.68</f>
        <v>2915.2599999999998</v>
      </c>
      <c r="H32" s="12">
        <f>H31+F32-G32</f>
        <v>2836.7150000000015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13</v>
      </c>
      <c r="B33" s="22">
        <v>45930</v>
      </c>
      <c r="C33" s="13" t="s">
        <v>8</v>
      </c>
      <c r="D33" s="38">
        <v>13052.66</v>
      </c>
      <c r="E33" s="23">
        <f t="shared" si="1"/>
        <v>9789.494999999999</v>
      </c>
      <c r="F33" s="23">
        <f t="shared" si="3"/>
        <v>3263.165</v>
      </c>
      <c r="G33" s="23">
        <v>0</v>
      </c>
      <c r="H33" s="12">
        <f>F33+H32-H9</f>
        <v>3263.7000000000012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218029.68000000002</v>
      </c>
      <c r="E34" s="20">
        <f>SUM(E10:E33)</f>
        <v>163522.25999999995</v>
      </c>
      <c r="F34" s="20">
        <f>SUM(F10:F33)</f>
        <v>54507.420000000006</v>
      </c>
      <c r="G34" s="14">
        <f>SUM(G10:G33)</f>
        <v>51243.719999999994</v>
      </c>
      <c r="H34" s="12">
        <f>H33</f>
        <v>3263.7000000000012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5" t="s">
        <v>10</v>
      </c>
      <c r="C35" s="66"/>
      <c r="D35" s="66"/>
      <c r="E35" s="66"/>
      <c r="F35" s="66"/>
      <c r="G35" s="66"/>
      <c r="H35" s="67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6" t="s">
        <v>135</v>
      </c>
      <c r="C36" s="47"/>
      <c r="D36" s="47"/>
      <c r="E36" s="47"/>
      <c r="F36" s="47"/>
      <c r="G36" s="47"/>
      <c r="H36" s="48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6" t="s">
        <v>128</v>
      </c>
      <c r="C37" s="70"/>
      <c r="D37" s="70"/>
      <c r="E37" s="70"/>
      <c r="F37" s="70"/>
      <c r="G37" s="70"/>
      <c r="H37" s="7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0" t="s">
        <v>136</v>
      </c>
      <c r="C38" s="68"/>
      <c r="D38" s="68"/>
      <c r="E38" s="68"/>
      <c r="F38" s="68"/>
      <c r="G38" s="68"/>
      <c r="H38" s="69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0"/>
      <c r="C39" s="68"/>
      <c r="D39" s="68"/>
      <c r="E39" s="68"/>
      <c r="F39" s="68"/>
      <c r="G39" s="68"/>
      <c r="H39" s="69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49"/>
      <c r="C40" s="50"/>
      <c r="D40" s="50"/>
      <c r="E40" s="50"/>
      <c r="F40" s="50"/>
      <c r="G40" s="50"/>
      <c r="H40" s="51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3F101-C5FD-426A-8AEB-B2BA7445D97A}">
  <dimension ref="A1:XFD1006"/>
  <sheetViews>
    <sheetView tabSelected="1" topLeftCell="A13" zoomScale="110" zoomScaleNormal="110" workbookViewId="0">
      <selection activeCell="K34" sqref="K3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137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138</v>
      </c>
      <c r="C9" s="56"/>
      <c r="D9" s="56"/>
      <c r="E9" s="56"/>
      <c r="F9" s="56"/>
      <c r="G9" s="56"/>
      <c r="H9" s="12">
        <v>3263.7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45931</v>
      </c>
      <c r="C10" s="13" t="s">
        <v>8</v>
      </c>
      <c r="D10" s="23">
        <f>16516.34+163</f>
        <v>16679.34</v>
      </c>
      <c r="E10" s="23">
        <f>D10-F10</f>
        <v>12509.505000000001</v>
      </c>
      <c r="F10" s="23">
        <f>+D10*0.25</f>
        <v>4169.835</v>
      </c>
      <c r="G10" s="23">
        <f>4128.86+40.75</f>
        <v>4169.6099999999997</v>
      </c>
      <c r="H10" s="12">
        <f>H9+F10-G10</f>
        <v>3263.9250000000002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3" si="0">B10+(MOD(B10,7)=6)*2+1</f>
        <v>45932</v>
      </c>
      <c r="C11" s="13" t="s">
        <v>8</v>
      </c>
      <c r="D11" s="23">
        <f>2694.53+1473</f>
        <v>4167.5300000000007</v>
      </c>
      <c r="E11" s="23">
        <f t="shared" ref="E11:E34" si="1">D11-F11</f>
        <v>3125.6475000000005</v>
      </c>
      <c r="F11" s="23">
        <f>+D11*0.25</f>
        <v>1041.8825000000002</v>
      </c>
      <c r="G11" s="23">
        <f>673.6+368.25</f>
        <v>1041.8499999999999</v>
      </c>
      <c r="H11" s="12">
        <f t="shared" ref="H11:H32" si="2">H10+F11-G11</f>
        <v>3263.9575000000009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45933</v>
      </c>
      <c r="C12" s="13" t="s">
        <v>8</v>
      </c>
      <c r="D12" s="23">
        <f>2698.47+123</f>
        <v>2821.47</v>
      </c>
      <c r="E12" s="23">
        <f t="shared" si="1"/>
        <v>2116.1025</v>
      </c>
      <c r="F12" s="23">
        <f t="shared" ref="F12:F34" si="3">+D12*0.25</f>
        <v>705.36749999999995</v>
      </c>
      <c r="G12" s="23">
        <f>674.61+30.75</f>
        <v>705.36</v>
      </c>
      <c r="H12" s="12">
        <f t="shared" si="2"/>
        <v>3263.9650000000006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45936</v>
      </c>
      <c r="C13" s="13" t="s">
        <v>8</v>
      </c>
      <c r="D13" s="23">
        <f>3361.74+251</f>
        <v>3612.74</v>
      </c>
      <c r="E13" s="23">
        <f>D13-F13</f>
        <v>2709.5549999999998</v>
      </c>
      <c r="F13" s="23">
        <f>+D13*0.25</f>
        <v>903.18499999999995</v>
      </c>
      <c r="G13" s="23">
        <f>840.43+62.75</f>
        <v>903.18</v>
      </c>
      <c r="H13" s="12">
        <f t="shared" si="2"/>
        <v>3263.9700000000007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45937</v>
      </c>
      <c r="C14" s="13" t="s">
        <v>8</v>
      </c>
      <c r="D14" s="23">
        <f>4835.43+123</f>
        <v>4958.43</v>
      </c>
      <c r="E14" s="23">
        <f t="shared" si="1"/>
        <v>3718.8225000000002</v>
      </c>
      <c r="F14" s="23">
        <f t="shared" si="3"/>
        <v>1239.6075000000001</v>
      </c>
      <c r="G14" s="23">
        <f>1208.81+30.75</f>
        <v>1239.56</v>
      </c>
      <c r="H14" s="12">
        <f t="shared" si="2"/>
        <v>3264.0175000000013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45938</v>
      </c>
      <c r="C15" s="13" t="s">
        <v>8</v>
      </c>
      <c r="D15" s="23">
        <f>4668.93+4662.76</f>
        <v>9331.69</v>
      </c>
      <c r="E15" s="23">
        <f t="shared" si="1"/>
        <v>6998.7674999999999</v>
      </c>
      <c r="F15" s="23">
        <f t="shared" si="3"/>
        <v>2332.9225000000001</v>
      </c>
      <c r="G15" s="23">
        <f>1167.2+1165.68</f>
        <v>2332.88</v>
      </c>
      <c r="H15" s="12">
        <f t="shared" si="2"/>
        <v>3264.0600000000013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45939</v>
      </c>
      <c r="C16" s="13" t="s">
        <v>8</v>
      </c>
      <c r="D16" s="23">
        <f>6704.11+1801</f>
        <v>8505.11</v>
      </c>
      <c r="E16" s="23">
        <f t="shared" si="1"/>
        <v>6378.8325000000004</v>
      </c>
      <c r="F16" s="23">
        <f t="shared" si="3"/>
        <v>2126.2775000000001</v>
      </c>
      <c r="G16" s="23">
        <f>1675.97+450.25</f>
        <v>2126.2200000000003</v>
      </c>
      <c r="H16" s="12">
        <f t="shared" si="2"/>
        <v>3264.1175000000012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45940</v>
      </c>
      <c r="C17" s="13" t="s">
        <v>8</v>
      </c>
      <c r="D17" s="23">
        <f>6198.25+326</f>
        <v>6524.25</v>
      </c>
      <c r="E17" s="23">
        <f t="shared" si="1"/>
        <v>4893.1875</v>
      </c>
      <c r="F17" s="23">
        <f t="shared" si="3"/>
        <v>1631.0625</v>
      </c>
      <c r="G17" s="23">
        <f>1549.51+81.5</f>
        <v>1631.01</v>
      </c>
      <c r="H17" s="12">
        <f t="shared" si="2"/>
        <v>3264.170000000001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45943</v>
      </c>
      <c r="C18" s="13" t="s">
        <v>8</v>
      </c>
      <c r="D18" s="23">
        <f>10844.52+5083</f>
        <v>15927.52</v>
      </c>
      <c r="E18" s="23">
        <f t="shared" si="1"/>
        <v>11945.64</v>
      </c>
      <c r="F18" s="23">
        <f t="shared" si="3"/>
        <v>3981.88</v>
      </c>
      <c r="G18" s="23">
        <f>2711.06+1270.75</f>
        <v>3981.81</v>
      </c>
      <c r="H18" s="12">
        <f t="shared" si="2"/>
        <v>3264.2400000000011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45944</v>
      </c>
      <c r="C19" s="13" t="s">
        <v>8</v>
      </c>
      <c r="D19" s="23">
        <f>5950.56+326</f>
        <v>6276.56</v>
      </c>
      <c r="E19" s="23">
        <f t="shared" si="1"/>
        <v>4707.42</v>
      </c>
      <c r="F19" s="23">
        <f t="shared" si="3"/>
        <v>1569.14</v>
      </c>
      <c r="G19" s="23">
        <f>1487.59+81.5</f>
        <v>1569.09</v>
      </c>
      <c r="H19" s="12">
        <f t="shared" si="2"/>
        <v>3264.2900000000009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45945</v>
      </c>
      <c r="C20" s="13" t="s">
        <v>8</v>
      </c>
      <c r="D20" s="23">
        <f>1044.15+489</f>
        <v>1533.15</v>
      </c>
      <c r="E20" s="23">
        <f t="shared" si="1"/>
        <v>1149.8625000000002</v>
      </c>
      <c r="F20" s="23">
        <f t="shared" si="3"/>
        <v>383.28750000000002</v>
      </c>
      <c r="G20" s="23">
        <f>261.02+122.25</f>
        <v>383.27</v>
      </c>
      <c r="H20" s="12">
        <f t="shared" si="2"/>
        <v>3264.3075000000008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45946</v>
      </c>
      <c r="C21" s="13" t="s">
        <v>8</v>
      </c>
      <c r="D21" s="23">
        <f>3512.29+1473</f>
        <v>4985.29</v>
      </c>
      <c r="E21" s="23">
        <f t="shared" si="1"/>
        <v>3738.9674999999997</v>
      </c>
      <c r="F21" s="23">
        <f t="shared" si="3"/>
        <v>1246.3225</v>
      </c>
      <c r="G21" s="23">
        <f>878.03+368.25</f>
        <v>1246.28</v>
      </c>
      <c r="H21" s="12">
        <f>H20+F21-G21</f>
        <v>3264.3500000000013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45947</v>
      </c>
      <c r="C22" s="13" t="s">
        <v>8</v>
      </c>
      <c r="D22" s="23">
        <f>4342.38+778</f>
        <v>5120.38</v>
      </c>
      <c r="E22" s="23">
        <f t="shared" si="1"/>
        <v>3840.2849999999999</v>
      </c>
      <c r="F22" s="23">
        <f t="shared" si="3"/>
        <v>1280.095</v>
      </c>
      <c r="G22" s="23">
        <f>1085.57+194.5</f>
        <v>1280.07</v>
      </c>
      <c r="H22" s="12">
        <f t="shared" si="2"/>
        <v>3264.3750000000018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45950</v>
      </c>
      <c r="C23" s="13" t="s">
        <v>8</v>
      </c>
      <c r="D23" s="23">
        <f>1300.89+981</f>
        <v>2281.8900000000003</v>
      </c>
      <c r="E23" s="23">
        <f t="shared" si="1"/>
        <v>1711.4175000000002</v>
      </c>
      <c r="F23" s="23">
        <f t="shared" si="3"/>
        <v>570.47250000000008</v>
      </c>
      <c r="G23" s="23">
        <f>325.22+245.25</f>
        <v>570.47</v>
      </c>
      <c r="H23" s="12">
        <f t="shared" si="2"/>
        <v>3264.3775000000014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45951</v>
      </c>
      <c r="C24" s="13" t="s">
        <v>8</v>
      </c>
      <c r="D24" s="23">
        <f>6707.56+1989.4</f>
        <v>8696.9600000000009</v>
      </c>
      <c r="E24" s="23">
        <f t="shared" si="1"/>
        <v>6522.7200000000012</v>
      </c>
      <c r="F24" s="23">
        <f t="shared" si="3"/>
        <v>2174.2400000000002</v>
      </c>
      <c r="G24" s="23">
        <f>1676.87+497.35</f>
        <v>2174.2199999999998</v>
      </c>
      <c r="H24" s="12">
        <f>H23+F24-G24</f>
        <v>3264.3975000000023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45952</v>
      </c>
      <c r="C25" s="13" t="s">
        <v>8</v>
      </c>
      <c r="D25" s="23">
        <f>4956.82</f>
        <v>4956.82</v>
      </c>
      <c r="E25" s="23">
        <f t="shared" si="1"/>
        <v>3717.6149999999998</v>
      </c>
      <c r="F25" s="23">
        <f t="shared" si="3"/>
        <v>1239.2049999999999</v>
      </c>
      <c r="G25" s="23">
        <v>1239.19</v>
      </c>
      <c r="H25" s="12">
        <f>H24+F25-G25</f>
        <v>3264.4125000000026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45953</v>
      </c>
      <c r="C26" s="13" t="s">
        <v>8</v>
      </c>
      <c r="D26" s="23">
        <f>8880.73+326</f>
        <v>9206.73</v>
      </c>
      <c r="E26" s="23">
        <f t="shared" si="1"/>
        <v>6905.0474999999997</v>
      </c>
      <c r="F26" s="23">
        <f t="shared" si="3"/>
        <v>2301.6824999999999</v>
      </c>
      <c r="G26" s="23">
        <f>2220.18+81.5</f>
        <v>2301.6799999999998</v>
      </c>
      <c r="H26" s="12">
        <f t="shared" si="2"/>
        <v>3264.4150000000031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45954</v>
      </c>
      <c r="C27" s="13" t="s">
        <v>8</v>
      </c>
      <c r="D27" s="23">
        <f>1747.95+941</f>
        <v>2688.95</v>
      </c>
      <c r="E27" s="23">
        <f>D27-F27</f>
        <v>2016.7124999999999</v>
      </c>
      <c r="F27" s="23">
        <f t="shared" si="3"/>
        <v>672.23749999999995</v>
      </c>
      <c r="G27" s="23">
        <f>436.97+235.25</f>
        <v>672.22</v>
      </c>
      <c r="H27" s="12">
        <f t="shared" si="2"/>
        <v>3264.4325000000026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45957</v>
      </c>
      <c r="C28" s="13" t="s">
        <v>8</v>
      </c>
      <c r="D28" s="23">
        <f>5733.81+815</f>
        <v>6548.81</v>
      </c>
      <c r="E28" s="23">
        <f t="shared" si="1"/>
        <v>4911.6075000000001</v>
      </c>
      <c r="F28" s="23">
        <f t="shared" si="3"/>
        <v>1637.2025000000001</v>
      </c>
      <c r="G28" s="23">
        <f>1433.42+203.75</f>
        <v>1637.17</v>
      </c>
      <c r="H28" s="12">
        <f t="shared" si="2"/>
        <v>3264.4650000000029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63956.254999999997</v>
      </c>
    </row>
    <row r="29" spans="1:26 16384:16384" ht="15.75" customHeight="1" x14ac:dyDescent="0.25">
      <c r="A29" s="31"/>
      <c r="B29" s="22">
        <f t="shared" si="0"/>
        <v>45958</v>
      </c>
      <c r="C29" s="13" t="s">
        <v>8</v>
      </c>
      <c r="D29" s="38">
        <f>3478.98+259.2</f>
        <v>3738.18</v>
      </c>
      <c r="E29" s="23">
        <f t="shared" si="1"/>
        <v>2803.6349999999998</v>
      </c>
      <c r="F29" s="23">
        <f t="shared" si="3"/>
        <v>934.54499999999996</v>
      </c>
      <c r="G29" s="23">
        <f>869.73+64.8</f>
        <v>934.53</v>
      </c>
      <c r="H29" s="12">
        <f t="shared" si="2"/>
        <v>3264.4800000000032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x14ac:dyDescent="0.25">
      <c r="A30" s="32" t="s">
        <v>12</v>
      </c>
      <c r="B30" s="42">
        <v>45958</v>
      </c>
      <c r="C30" s="43" t="s">
        <v>11</v>
      </c>
      <c r="D30" s="44"/>
      <c r="E30" s="45">
        <f>D30-F30</f>
        <v>0</v>
      </c>
      <c r="F30" s="45">
        <f t="shared" ref="F30" si="4">+D30*0.25</f>
        <v>0</v>
      </c>
      <c r="G30" s="45">
        <v>3263.7</v>
      </c>
      <c r="H30" s="12">
        <f t="shared" si="2"/>
        <v>0.78000000000338332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>B29+(MOD(B29,7)=6)*2+1</f>
        <v>45959</v>
      </c>
      <c r="C31" s="13" t="s">
        <v>8</v>
      </c>
      <c r="D31" s="38">
        <f>1743.81+330.57</f>
        <v>2074.38</v>
      </c>
      <c r="E31" s="23">
        <f t="shared" si="1"/>
        <v>1555.7850000000001</v>
      </c>
      <c r="F31" s="23">
        <f t="shared" si="3"/>
        <v>518.59500000000003</v>
      </c>
      <c r="G31" s="23">
        <f>435.92+82.64</f>
        <v>518.56000000000006</v>
      </c>
      <c r="H31" s="12">
        <f t="shared" si="2"/>
        <v>0.81500000000335149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45960</v>
      </c>
      <c r="C32" s="13" t="s">
        <v>8</v>
      </c>
      <c r="D32" s="38">
        <f>4759.59+755.7</f>
        <v>5515.29</v>
      </c>
      <c r="E32" s="23">
        <f t="shared" si="1"/>
        <v>4136.4674999999997</v>
      </c>
      <c r="F32" s="23">
        <f t="shared" si="3"/>
        <v>1378.8225</v>
      </c>
      <c r="G32" s="23">
        <f>1189.86+188.92</f>
        <v>1378.78</v>
      </c>
      <c r="H32" s="12">
        <f t="shared" si="2"/>
        <v>0.85750000000348336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B33" s="22">
        <f t="shared" si="0"/>
        <v>45961</v>
      </c>
      <c r="C33" s="13" t="s">
        <v>8</v>
      </c>
      <c r="D33" s="38">
        <f>18058.09+163</f>
        <v>18221.09</v>
      </c>
      <c r="E33" s="23">
        <f t="shared" si="1"/>
        <v>13665.817500000001</v>
      </c>
      <c r="F33" s="23">
        <f t="shared" si="3"/>
        <v>4555.2725</v>
      </c>
      <c r="G33" s="23">
        <f>4514.3+40.75</f>
        <v>4555.05</v>
      </c>
      <c r="H33" s="12">
        <f>H32+F33-G33</f>
        <v>1.0800000000035652</v>
      </c>
      <c r="I33" s="40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5">
      <c r="A34" s="32" t="s">
        <v>13</v>
      </c>
      <c r="B34" s="22">
        <v>45961</v>
      </c>
      <c r="C34" s="13" t="s">
        <v>8</v>
      </c>
      <c r="D34" s="38">
        <v>7058.56</v>
      </c>
      <c r="E34" s="23">
        <f t="shared" si="1"/>
        <v>5293.92</v>
      </c>
      <c r="F34" s="23">
        <f t="shared" si="3"/>
        <v>1764.64</v>
      </c>
      <c r="G34" s="23">
        <v>0</v>
      </c>
      <c r="H34" s="12">
        <f>F34+H33</f>
        <v>1765.7200000000037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thickBot="1" x14ac:dyDescent="0.3">
      <c r="A35" s="2"/>
      <c r="B35" s="18" t="s">
        <v>9</v>
      </c>
      <c r="C35" s="19"/>
      <c r="D35" s="20">
        <f>SUM(D10:D34)</f>
        <v>161431.12</v>
      </c>
      <c r="E35" s="20">
        <f>SUM(E10:E34)</f>
        <v>121073.34</v>
      </c>
      <c r="F35" s="20">
        <f>SUM(F10:F34)</f>
        <v>40357.78</v>
      </c>
      <c r="G35" s="20">
        <f>SUM(G10:G34)</f>
        <v>41855.759999999995</v>
      </c>
      <c r="H35" s="12">
        <f>H34</f>
        <v>1765.7200000000037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73" t="s">
        <v>10</v>
      </c>
      <c r="C36" s="74"/>
      <c r="D36" s="74"/>
      <c r="E36" s="74"/>
      <c r="F36" s="74"/>
      <c r="G36" s="74"/>
      <c r="H36" s="75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76" t="s">
        <v>143</v>
      </c>
      <c r="C37" s="64"/>
      <c r="D37" s="64"/>
      <c r="E37" s="64"/>
      <c r="F37" s="64"/>
      <c r="G37" s="64"/>
      <c r="H37" s="77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31"/>
      <c r="B38" s="76" t="s">
        <v>134</v>
      </c>
      <c r="C38" s="70"/>
      <c r="D38" s="70"/>
      <c r="E38" s="70"/>
      <c r="F38" s="70"/>
      <c r="G38" s="70"/>
      <c r="H38" s="78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79" t="s">
        <v>139</v>
      </c>
      <c r="C39" s="68"/>
      <c r="D39" s="68"/>
      <c r="E39" s="68"/>
      <c r="F39" s="68"/>
      <c r="G39" s="68"/>
      <c r="H39" s="8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x14ac:dyDescent="0.25">
      <c r="A40" s="31"/>
      <c r="B40" s="79"/>
      <c r="C40" s="68"/>
      <c r="D40" s="68"/>
      <c r="E40" s="68"/>
      <c r="F40" s="68"/>
      <c r="G40" s="68"/>
      <c r="H40" s="80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5.75" customHeight="1" x14ac:dyDescent="0.25">
      <c r="A41" s="31"/>
      <c r="B41" s="81" t="s">
        <v>142</v>
      </c>
      <c r="C41" s="72"/>
      <c r="D41" s="72"/>
      <c r="E41" s="72"/>
      <c r="F41" s="72"/>
      <c r="G41" s="72"/>
      <c r="H41" s="82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x14ac:dyDescent="0.25">
      <c r="A42" s="29"/>
      <c r="B42" s="81"/>
      <c r="C42" s="72"/>
      <c r="D42" s="72"/>
      <c r="E42" s="72"/>
      <c r="F42" s="72"/>
      <c r="G42" s="72"/>
      <c r="H42" s="82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"/>
      <c r="B43" s="83"/>
      <c r="C43" s="84"/>
      <c r="D43" s="84"/>
      <c r="E43" s="84"/>
      <c r="F43" s="84"/>
      <c r="G43" s="84"/>
      <c r="H43" s="8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7">
    <mergeCell ref="B7:H7"/>
    <mergeCell ref="B9:G9"/>
    <mergeCell ref="B36:H36"/>
    <mergeCell ref="B37:H37"/>
    <mergeCell ref="B38:H38"/>
    <mergeCell ref="B39:H40"/>
    <mergeCell ref="B41:H42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F30" sqref="F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25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26</v>
      </c>
      <c r="C9" s="56"/>
      <c r="D9" s="56"/>
      <c r="E9" s="56"/>
      <c r="F9" s="56"/>
      <c r="G9" s="56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7" t="s">
        <v>10</v>
      </c>
      <c r="C38" s="58"/>
      <c r="D38" s="58"/>
      <c r="E38" s="58"/>
      <c r="F38" s="58"/>
      <c r="G38" s="58"/>
      <c r="H38" s="59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6" t="s">
        <v>29</v>
      </c>
      <c r="C39" s="47"/>
      <c r="D39" s="47"/>
      <c r="E39" s="47"/>
      <c r="F39" s="47"/>
      <c r="G39" s="47"/>
      <c r="H39" s="48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0" t="s">
        <v>30</v>
      </c>
      <c r="C40" s="47"/>
      <c r="D40" s="47"/>
      <c r="E40" s="47"/>
      <c r="F40" s="47"/>
      <c r="G40" s="47"/>
      <c r="H40" s="4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0"/>
      <c r="C41" s="47"/>
      <c r="D41" s="47"/>
      <c r="E41" s="47"/>
      <c r="F41" s="47"/>
      <c r="G41" s="47"/>
      <c r="H41" s="48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6"/>
      <c r="C42" s="47"/>
      <c r="D42" s="47"/>
      <c r="E42" s="47"/>
      <c r="F42" s="47"/>
      <c r="G42" s="47"/>
      <c r="H42" s="48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9"/>
      <c r="C43" s="50"/>
      <c r="D43" s="50"/>
      <c r="E43" s="50"/>
      <c r="F43" s="50"/>
      <c r="G43" s="50"/>
      <c r="H43" s="51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3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44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32</v>
      </c>
      <c r="C9" s="56"/>
      <c r="D9" s="56"/>
      <c r="E9" s="56"/>
      <c r="F9" s="56"/>
      <c r="G9" s="56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7" t="s">
        <v>10</v>
      </c>
      <c r="C40" s="58"/>
      <c r="D40" s="58"/>
      <c r="E40" s="58"/>
      <c r="F40" s="58"/>
      <c r="G40" s="58"/>
      <c r="H40" s="59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6" t="s">
        <v>35</v>
      </c>
      <c r="C41" s="47"/>
      <c r="D41" s="47"/>
      <c r="E41" s="47"/>
      <c r="F41" s="47"/>
      <c r="G41" s="47"/>
      <c r="H41" s="48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0" t="s">
        <v>38</v>
      </c>
      <c r="C42" s="47"/>
      <c r="D42" s="47"/>
      <c r="E42" s="47"/>
      <c r="F42" s="47"/>
      <c r="G42" s="47"/>
      <c r="H42" s="48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60" t="s">
        <v>36</v>
      </c>
      <c r="C43" s="47"/>
      <c r="D43" s="47"/>
      <c r="E43" s="47"/>
      <c r="F43" s="47"/>
      <c r="G43" s="47"/>
      <c r="H43" s="48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60" t="s">
        <v>39</v>
      </c>
      <c r="C44" s="61"/>
      <c r="D44" s="61"/>
      <c r="E44" s="61"/>
      <c r="F44" s="61"/>
      <c r="G44" s="61"/>
      <c r="H44" s="62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9"/>
      <c r="C45" s="50"/>
      <c r="D45" s="50"/>
      <c r="E45" s="50"/>
      <c r="F45" s="50"/>
      <c r="G45" s="50"/>
      <c r="H45" s="51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topLeftCell="A7" zoomScaleNormal="100" workbookViewId="0">
      <selection activeCell="M27" sqref="M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52" t="s">
        <v>45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55" t="s">
        <v>49</v>
      </c>
      <c r="C9" s="56"/>
      <c r="D9" s="56"/>
      <c r="E9" s="56"/>
      <c r="F9" s="56"/>
      <c r="G9" s="56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57" t="s">
        <v>10</v>
      </c>
      <c r="C40" s="58"/>
      <c r="D40" s="58"/>
      <c r="E40" s="58"/>
      <c r="F40" s="58"/>
      <c r="G40" s="58"/>
      <c r="H40" s="59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6" t="s">
        <v>41</v>
      </c>
      <c r="C41" s="64"/>
      <c r="D41" s="64"/>
      <c r="E41" s="64"/>
      <c r="F41" s="64"/>
      <c r="G41" s="64"/>
      <c r="H41" s="48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60" t="s">
        <v>40</v>
      </c>
      <c r="C42" s="64"/>
      <c r="D42" s="64"/>
      <c r="E42" s="64"/>
      <c r="F42" s="64"/>
      <c r="G42" s="64"/>
      <c r="H42" s="48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60" t="s">
        <v>43</v>
      </c>
      <c r="C43" s="64"/>
      <c r="D43" s="64"/>
      <c r="E43" s="64"/>
      <c r="F43" s="64"/>
      <c r="G43" s="64"/>
      <c r="H43" s="48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60" t="s">
        <v>42</v>
      </c>
      <c r="C44" s="63"/>
      <c r="D44" s="63"/>
      <c r="E44" s="63"/>
      <c r="F44" s="63"/>
      <c r="G44" s="63"/>
      <c r="H44" s="62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49"/>
      <c r="C45" s="50"/>
      <c r="D45" s="50"/>
      <c r="E45" s="50"/>
      <c r="F45" s="50"/>
      <c r="G45" s="50"/>
      <c r="H45" s="51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topLeftCell="A7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57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47</v>
      </c>
      <c r="C9" s="56"/>
      <c r="D9" s="56"/>
      <c r="E9" s="56"/>
      <c r="F9" s="56"/>
      <c r="G9" s="56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7" t="s">
        <v>10</v>
      </c>
      <c r="C40" s="58"/>
      <c r="D40" s="58"/>
      <c r="E40" s="58"/>
      <c r="F40" s="58"/>
      <c r="G40" s="58"/>
      <c r="H40" s="59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6" t="s">
        <v>51</v>
      </c>
      <c r="C41" s="47"/>
      <c r="D41" s="47"/>
      <c r="E41" s="47"/>
      <c r="F41" s="47"/>
      <c r="G41" s="47"/>
      <c r="H41" s="48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0" t="s">
        <v>50</v>
      </c>
      <c r="C42" s="47"/>
      <c r="D42" s="47"/>
      <c r="E42" s="47"/>
      <c r="F42" s="47"/>
      <c r="G42" s="47"/>
      <c r="H42" s="48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60"/>
      <c r="C43" s="47"/>
      <c r="D43" s="47"/>
      <c r="E43" s="47"/>
      <c r="F43" s="47"/>
      <c r="G43" s="47"/>
      <c r="H43" s="48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60"/>
      <c r="C44" s="61"/>
      <c r="D44" s="61"/>
      <c r="E44" s="61"/>
      <c r="F44" s="61"/>
      <c r="G44" s="61"/>
      <c r="H44" s="62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9"/>
      <c r="C45" s="50"/>
      <c r="D45" s="50"/>
      <c r="E45" s="50"/>
      <c r="F45" s="50"/>
      <c r="G45" s="50"/>
      <c r="H45" s="51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19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58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53</v>
      </c>
      <c r="C9" s="56"/>
      <c r="D9" s="56"/>
      <c r="E9" s="56"/>
      <c r="F9" s="56"/>
      <c r="G9" s="56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7" t="s">
        <v>10</v>
      </c>
      <c r="C37" s="58"/>
      <c r="D37" s="58"/>
      <c r="E37" s="58"/>
      <c r="F37" s="58"/>
      <c r="G37" s="58"/>
      <c r="H37" s="59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6" t="s">
        <v>54</v>
      </c>
      <c r="C38" s="47"/>
      <c r="D38" s="47"/>
      <c r="E38" s="47"/>
      <c r="F38" s="47"/>
      <c r="G38" s="47"/>
      <c r="H38" s="48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0" t="s">
        <v>55</v>
      </c>
      <c r="C39" s="64"/>
      <c r="D39" s="64"/>
      <c r="E39" s="64"/>
      <c r="F39" s="64"/>
      <c r="G39" s="64"/>
      <c r="H39" s="48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0" t="s">
        <v>56</v>
      </c>
      <c r="C40" s="47"/>
      <c r="D40" s="47"/>
      <c r="E40" s="47"/>
      <c r="F40" s="47"/>
      <c r="G40" s="47"/>
      <c r="H40" s="4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0"/>
      <c r="C41" s="61"/>
      <c r="D41" s="61"/>
      <c r="E41" s="61"/>
      <c r="F41" s="61"/>
      <c r="G41" s="61"/>
      <c r="H41" s="6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9"/>
      <c r="C42" s="50"/>
      <c r="D42" s="50"/>
      <c r="E42" s="50"/>
      <c r="F42" s="50"/>
      <c r="G42" s="50"/>
      <c r="H42" s="51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59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61</v>
      </c>
      <c r="C9" s="56"/>
      <c r="D9" s="56"/>
      <c r="E9" s="56"/>
      <c r="F9" s="56"/>
      <c r="G9" s="56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7" t="s">
        <v>10</v>
      </c>
      <c r="C37" s="58"/>
      <c r="D37" s="58"/>
      <c r="E37" s="58"/>
      <c r="F37" s="58"/>
      <c r="G37" s="58"/>
      <c r="H37" s="59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6" t="s">
        <v>62</v>
      </c>
      <c r="C38" s="47"/>
      <c r="D38" s="47"/>
      <c r="E38" s="47"/>
      <c r="F38" s="47"/>
      <c r="G38" s="47"/>
      <c r="H38" s="48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0" t="s">
        <v>63</v>
      </c>
      <c r="C39" s="64"/>
      <c r="D39" s="64"/>
      <c r="E39" s="64"/>
      <c r="F39" s="64"/>
      <c r="G39" s="64"/>
      <c r="H39" s="48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0" t="s">
        <v>64</v>
      </c>
      <c r="C40" s="47"/>
      <c r="D40" s="47"/>
      <c r="E40" s="47"/>
      <c r="F40" s="47"/>
      <c r="G40" s="47"/>
      <c r="H40" s="4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0"/>
      <c r="C41" s="61"/>
      <c r="D41" s="61"/>
      <c r="E41" s="61"/>
      <c r="F41" s="61"/>
      <c r="G41" s="61"/>
      <c r="H41" s="6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9"/>
      <c r="C42" s="50"/>
      <c r="D42" s="50"/>
      <c r="E42" s="50"/>
      <c r="F42" s="50"/>
      <c r="G42" s="50"/>
      <c r="H42" s="51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2" t="s">
        <v>70</v>
      </c>
      <c r="C7" s="53"/>
      <c r="D7" s="53"/>
      <c r="E7" s="53"/>
      <c r="F7" s="53"/>
      <c r="G7" s="53"/>
      <c r="H7" s="54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5" t="s">
        <v>66</v>
      </c>
      <c r="C9" s="56"/>
      <c r="D9" s="56"/>
      <c r="E9" s="56"/>
      <c r="F9" s="56"/>
      <c r="G9" s="56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7" t="s">
        <v>10</v>
      </c>
      <c r="C37" s="58"/>
      <c r="D37" s="58"/>
      <c r="E37" s="58"/>
      <c r="F37" s="58"/>
      <c r="G37" s="58"/>
      <c r="H37" s="59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6" t="s">
        <v>67</v>
      </c>
      <c r="C38" s="47"/>
      <c r="D38" s="47"/>
      <c r="E38" s="47"/>
      <c r="F38" s="47"/>
      <c r="G38" s="47"/>
      <c r="H38" s="48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0" t="s">
        <v>68</v>
      </c>
      <c r="C39" s="64"/>
      <c r="D39" s="64"/>
      <c r="E39" s="64"/>
      <c r="F39" s="64"/>
      <c r="G39" s="64"/>
      <c r="H39" s="48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0" t="s">
        <v>69</v>
      </c>
      <c r="C40" s="47"/>
      <c r="D40" s="47"/>
      <c r="E40" s="47"/>
      <c r="F40" s="47"/>
      <c r="G40" s="47"/>
      <c r="H40" s="4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0"/>
      <c r="C41" s="61"/>
      <c r="D41" s="61"/>
      <c r="E41" s="61"/>
      <c r="F41" s="61"/>
      <c r="G41" s="61"/>
      <c r="H41" s="6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9"/>
      <c r="C42" s="50"/>
      <c r="D42" s="50"/>
      <c r="E42" s="50"/>
      <c r="F42" s="50"/>
      <c r="G42" s="50"/>
      <c r="H42" s="51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21</vt:i4>
      </vt:variant>
    </vt:vector>
  </HeadingPairs>
  <TitlesOfParts>
    <vt:vector size="43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08-2025</vt:lpstr>
      <vt:lpstr>09-2025</vt:lpstr>
      <vt:lpstr>10-2025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'08-2025'!Area_de_impressao</vt:lpstr>
      <vt:lpstr>'09-2024'!Area_de_impressao</vt:lpstr>
      <vt:lpstr>'09-2025'!Area_de_impressao</vt:lpstr>
      <vt:lpstr>'10-2024'!Area_de_impressao</vt:lpstr>
      <vt:lpstr>'10-2025'!Area_de_impressao</vt:lpstr>
      <vt:lpstr>'11-2024'!Area_de_impressao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2025-11-26T12:59:00Z</cp:lastPrinted>
  <dcterms:created xsi:type="dcterms:W3CDTF">2012-01-17T12:10:04Z</dcterms:created>
  <dcterms:modified xsi:type="dcterms:W3CDTF">2025-11-26T12:59:17Z</dcterms:modified>
</cp:coreProperties>
</file>