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11.2025\"/>
    </mc:Choice>
  </mc:AlternateContent>
  <xr:revisionPtr revIDLastSave="0" documentId="13_ncr:1_{1CEDEF9A-3164-40DF-8345-6001AD026074}" xr6:coauthVersionLast="47" xr6:coauthVersionMax="47" xr10:uidLastSave="{00000000-0000-0000-0000-000000000000}"/>
  <bookViews>
    <workbookView xWindow="2940" yWindow="2940" windowWidth="19155" windowHeight="11685" tabRatio="918" firstSheet="10" activeTab="22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  <sheet name="10-2025" sheetId="34" r:id="rId22"/>
    <sheet name="11-2025" sheetId="35" r:id="rId23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21">'10-2025'!$A$1:$H$43</definedName>
    <definedName name="_xlnm.Print_Area" localSheetId="10">'11-2024'!$A$1:$H$43</definedName>
    <definedName name="_xlnm.Print_Area" localSheetId="22">'11-2025'!$A$1:$H$36</definedName>
    <definedName name="_xlnm.Print_Area" localSheetId="11">'12-2024'!$A$1:$H$42</definedName>
  </definedNames>
  <calcPr calcId="19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K31" i="35" l="1"/>
  <c r="G28" i="35" l="1"/>
  <c r="D28" i="35"/>
  <c r="F28" i="35" s="1"/>
  <c r="E28" i="35" s="1"/>
  <c r="G27" i="35"/>
  <c r="D27" i="35"/>
  <c r="F27" i="35" s="1"/>
  <c r="G26" i="35"/>
  <c r="D26" i="35"/>
  <c r="F26" i="35" s="1"/>
  <c r="E26" i="35" s="1"/>
  <c r="G25" i="35"/>
  <c r="D25" i="35"/>
  <c r="D23" i="35"/>
  <c r="F23" i="35" s="1"/>
  <c r="G22" i="35"/>
  <c r="D22" i="35"/>
  <c r="F22" i="35" s="1"/>
  <c r="G21" i="35"/>
  <c r="D21" i="35"/>
  <c r="F21" i="35" s="1"/>
  <c r="E21" i="35" s="1"/>
  <c r="G20" i="35"/>
  <c r="D20" i="35"/>
  <c r="G19" i="35"/>
  <c r="D19" i="35"/>
  <c r="G18" i="35"/>
  <c r="D18" i="35"/>
  <c r="F18" i="35" s="1"/>
  <c r="G17" i="35"/>
  <c r="D17" i="35"/>
  <c r="G16" i="35"/>
  <c r="D16" i="35"/>
  <c r="F16" i="35" s="1"/>
  <c r="G15" i="35"/>
  <c r="D15" i="35"/>
  <c r="F15" i="35" s="1"/>
  <c r="G14" i="35"/>
  <c r="D14" i="35"/>
  <c r="G13" i="35"/>
  <c r="D13" i="35"/>
  <c r="F13" i="35" s="1"/>
  <c r="E13" i="35" s="1"/>
  <c r="G12" i="35"/>
  <c r="D12" i="35"/>
  <c r="G11" i="35"/>
  <c r="D11" i="35"/>
  <c r="F11" i="35" s="1"/>
  <c r="G10" i="35"/>
  <c r="D10" i="35"/>
  <c r="F29" i="35"/>
  <c r="E29" i="35" s="1"/>
  <c r="F19" i="35"/>
  <c r="F17" i="35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4" i="35" s="1"/>
  <c r="B25" i="35" s="1"/>
  <c r="B26" i="35" s="1"/>
  <c r="B27" i="35" s="1"/>
  <c r="B28" i="35" s="1"/>
  <c r="F28" i="33"/>
  <c r="E28" i="33" s="1"/>
  <c r="G30" i="35" l="1"/>
  <c r="E11" i="35"/>
  <c r="E17" i="35"/>
  <c r="E19" i="35"/>
  <c r="F25" i="35"/>
  <c r="E25" i="35" s="1"/>
  <c r="E23" i="35"/>
  <c r="E15" i="35"/>
  <c r="D30" i="35"/>
  <c r="E16" i="35"/>
  <c r="E18" i="35"/>
  <c r="E22" i="35"/>
  <c r="F10" i="35"/>
  <c r="F12" i="35"/>
  <c r="E12" i="35" s="1"/>
  <c r="F14" i="35"/>
  <c r="E14" i="35" s="1"/>
  <c r="F20" i="35"/>
  <c r="E20" i="35" s="1"/>
  <c r="F24" i="35"/>
  <c r="E24" i="35" s="1"/>
  <c r="E27" i="35"/>
  <c r="F30" i="34"/>
  <c r="E30" i="34" s="1"/>
  <c r="G33" i="34"/>
  <c r="D33" i="34"/>
  <c r="F33" i="34" s="1"/>
  <c r="E33" i="34" s="1"/>
  <c r="G32" i="34"/>
  <c r="D32" i="34"/>
  <c r="F32" i="34" s="1"/>
  <c r="E32" i="34" s="1"/>
  <c r="G31" i="34"/>
  <c r="D31" i="34"/>
  <c r="F31" i="34" s="1"/>
  <c r="E31" i="34" s="1"/>
  <c r="G29" i="34"/>
  <c r="D29" i="34"/>
  <c r="D28" i="34"/>
  <c r="F28" i="34" s="1"/>
  <c r="G28" i="34"/>
  <c r="G27" i="34"/>
  <c r="D27" i="34"/>
  <c r="F27" i="34" s="1"/>
  <c r="G26" i="34"/>
  <c r="D26" i="34"/>
  <c r="F26" i="34" s="1"/>
  <c r="E26" i="34" s="1"/>
  <c r="D25" i="34"/>
  <c r="F25" i="34" s="1"/>
  <c r="E25" i="34" s="1"/>
  <c r="G24" i="34"/>
  <c r="D24" i="34"/>
  <c r="F24" i="34" s="1"/>
  <c r="E24" i="34" s="1"/>
  <c r="G23" i="34"/>
  <c r="D23" i="34"/>
  <c r="G22" i="34"/>
  <c r="D22" i="34"/>
  <c r="F22" i="34" s="1"/>
  <c r="E22" i="34" s="1"/>
  <c r="G21" i="34"/>
  <c r="D21" i="34"/>
  <c r="F21" i="34" s="1"/>
  <c r="E21" i="34" s="1"/>
  <c r="G20" i="34"/>
  <c r="D20" i="34"/>
  <c r="F20" i="34" s="1"/>
  <c r="E20" i="34" s="1"/>
  <c r="G19" i="34"/>
  <c r="D19" i="34"/>
  <c r="F19" i="34" s="1"/>
  <c r="G18" i="34"/>
  <c r="D18" i="34"/>
  <c r="F18" i="34" s="1"/>
  <c r="E18" i="34" s="1"/>
  <c r="G17" i="34"/>
  <c r="D17" i="34"/>
  <c r="F17" i="34" s="1"/>
  <c r="E17" i="34" s="1"/>
  <c r="G16" i="34"/>
  <c r="D16" i="34"/>
  <c r="F16" i="34" s="1"/>
  <c r="E16" i="34" s="1"/>
  <c r="G15" i="34"/>
  <c r="D15" i="34"/>
  <c r="F15" i="34" s="1"/>
  <c r="G14" i="34"/>
  <c r="D14" i="34"/>
  <c r="F14" i="34" s="1"/>
  <c r="E14" i="34" s="1"/>
  <c r="G13" i="34"/>
  <c r="D13" i="34"/>
  <c r="F13" i="34" s="1"/>
  <c r="G12" i="34"/>
  <c r="D12" i="34"/>
  <c r="F12" i="34" s="1"/>
  <c r="E12" i="34" s="1"/>
  <c r="G11" i="34"/>
  <c r="D11" i="34"/>
  <c r="F11" i="34" s="1"/>
  <c r="E11" i="34" s="1"/>
  <c r="G10" i="34"/>
  <c r="D10" i="34"/>
  <c r="F34" i="34"/>
  <c r="F29" i="34"/>
  <c r="E29" i="34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F30" i="35" l="1"/>
  <c r="H10" i="35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E10" i="35"/>
  <c r="E30" i="35" s="1"/>
  <c r="E34" i="34"/>
  <c r="E15" i="34"/>
  <c r="E19" i="34"/>
  <c r="E27" i="34"/>
  <c r="F23" i="34"/>
  <c r="E23" i="34" s="1"/>
  <c r="G35" i="34"/>
  <c r="E13" i="34"/>
  <c r="D35" i="34"/>
  <c r="B29" i="34"/>
  <c r="B31" i="34" s="1"/>
  <c r="B32" i="34" s="1"/>
  <c r="B33" i="34" s="1"/>
  <c r="E28" i="34"/>
  <c r="F10" i="34"/>
  <c r="G32" i="33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H30" i="35" l="1"/>
  <c r="XFD28" i="35"/>
  <c r="E10" i="34"/>
  <c r="E35" i="34" s="1"/>
  <c r="F35" i="34"/>
  <c r="H10" i="34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29" i="34" s="1"/>
  <c r="H30" i="34" s="1"/>
  <c r="H31" i="34" s="1"/>
  <c r="H32" i="34" s="1"/>
  <c r="F27" i="33"/>
  <c r="E27" i="33" s="1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G29" i="32"/>
  <c r="D29" i="32"/>
  <c r="G28" i="32"/>
  <c r="D28" i="32"/>
  <c r="G27" i="32"/>
  <c r="D27" i="32"/>
  <c r="G26" i="32"/>
  <c r="D26" i="32"/>
  <c r="G25" i="32"/>
  <c r="D25" i="32"/>
  <c r="G24" i="32"/>
  <c r="D24" i="32"/>
  <c r="G23" i="32"/>
  <c r="D23" i="32"/>
  <c r="G22" i="32"/>
  <c r="D22" i="32"/>
  <c r="G21" i="32"/>
  <c r="D21" i="32"/>
  <c r="G20" i="32"/>
  <c r="D20" i="32"/>
  <c r="G19" i="32"/>
  <c r="D19" i="32"/>
  <c r="G18" i="32"/>
  <c r="D18" i="32"/>
  <c r="F18" i="32" s="1"/>
  <c r="E18" i="32" s="1"/>
  <c r="G17" i="32"/>
  <c r="D17" i="32"/>
  <c r="G16" i="32"/>
  <c r="D16" i="32"/>
  <c r="F16" i="32" s="1"/>
  <c r="E16" i="32" s="1"/>
  <c r="G15" i="32"/>
  <c r="D15" i="32"/>
  <c r="G14" i="32"/>
  <c r="D14" i="32"/>
  <c r="G13" i="32"/>
  <c r="D13" i="32"/>
  <c r="G12" i="32"/>
  <c r="D12" i="32"/>
  <c r="G11" i="32"/>
  <c r="D11" i="32"/>
  <c r="G10" i="32"/>
  <c r="D10" i="32"/>
  <c r="D34" i="32" s="1"/>
  <c r="F33" i="32"/>
  <c r="E33" i="32" s="1"/>
  <c r="F32" i="32"/>
  <c r="E32" i="32" s="1"/>
  <c r="F31" i="32"/>
  <c r="F30" i="32"/>
  <c r="F29" i="32"/>
  <c r="F28" i="32"/>
  <c r="E28" i="32" s="1"/>
  <c r="F27" i="32"/>
  <c r="F26" i="32"/>
  <c r="E26" i="32" s="1"/>
  <c r="F25" i="32"/>
  <c r="F24" i="32"/>
  <c r="E24" i="32"/>
  <c r="F23" i="32"/>
  <c r="F22" i="32"/>
  <c r="F21" i="32"/>
  <c r="F20" i="32"/>
  <c r="E20" i="32" s="1"/>
  <c r="F19" i="32"/>
  <c r="F17" i="32"/>
  <c r="F15" i="32"/>
  <c r="F14" i="32"/>
  <c r="E14" i="32" s="1"/>
  <c r="F13" i="32"/>
  <c r="F12" i="32"/>
  <c r="E12" i="32" s="1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10" i="32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F15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F13" i="29" s="1"/>
  <c r="E13" i="29" s="1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F11" i="28" s="1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E15" i="27" s="1"/>
  <c r="F16" i="27"/>
  <c r="E16" i="27" s="1"/>
  <c r="F17" i="27"/>
  <c r="F18" i="27"/>
  <c r="E18" i="27" s="1"/>
  <c r="F19" i="27"/>
  <c r="E19" i="27" s="1"/>
  <c r="F20" i="27"/>
  <c r="E20" i="27" s="1"/>
  <c r="F21" i="27"/>
  <c r="F22" i="27"/>
  <c r="E22" i="27" s="1"/>
  <c r="F23" i="27"/>
  <c r="E23" i="27" s="1"/>
  <c r="F24" i="27"/>
  <c r="E24" i="27" s="1"/>
  <c r="F25" i="27"/>
  <c r="F26" i="27"/>
  <c r="F27" i="27"/>
  <c r="E27" i="27" s="1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6" i="27"/>
  <c r="E25" i="27"/>
  <c r="E21" i="27"/>
  <c r="E17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E10" i="32" l="1"/>
  <c r="G34" i="32"/>
  <c r="E22" i="32"/>
  <c r="E30" i="32"/>
  <c r="H33" i="34"/>
  <c r="H34" i="34" s="1"/>
  <c r="H35" i="34" s="1"/>
  <c r="E10" i="33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H34" i="33" l="1"/>
  <c r="XFD28" i="34"/>
  <c r="XFD29" i="33"/>
  <c r="E34" i="32"/>
  <c r="F32" i="29"/>
  <c r="F34" i="31"/>
  <c r="E29" i="31"/>
  <c r="E34" i="31" s="1"/>
  <c r="E32" i="30"/>
  <c r="F32" i="30"/>
  <c r="E10" i="29"/>
  <c r="E32" i="29" s="1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H9" i="31" s="1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J33" i="31" l="1"/>
  <c r="H33" i="31"/>
  <c r="H34" i="31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3" i="20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H31" i="32" l="1"/>
  <c r="H32" i="32" s="1"/>
  <c r="H33" i="32" s="1"/>
  <c r="H34" i="32" s="1"/>
  <c r="J31" i="32"/>
  <c r="G35" i="19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4" i="17" l="1"/>
  <c r="H35" i="17" s="1"/>
  <c r="H36" i="17" s="1"/>
  <c r="H37" i="17" s="1"/>
  <c r="H38" i="17" s="1"/>
  <c r="H39" i="17" s="1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<sst xmlns="http://schemas.openxmlformats.org/spreadsheetml/2006/main" count="964" uniqueCount="149">
  <si>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</si>
  <si>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</si>
  <si>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</si>
  <si>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</si>
  <si>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</si>
  <si>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</si>
  <si>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</si>
  <si>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</si>
  <si>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</si>
  <si>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</si>
  <si>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</si>
  <si>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</si>
  <si>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</si>
  <si>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</si>
  <si>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</si>
  <si>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</si>
  <si>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</si>
  <si>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</si>
  <si>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</si>
  <si>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</si>
  <si>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</si>
  <si>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</si>
  <si>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</si>
  <si>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</si>
  <si>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</si>
  <si>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</si>
  <si>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</si>
  <si>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</si>
  <si>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</si>
  <si>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</si>
  <si>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</si>
  <si>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</si>
  <si>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</si>
  <si>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</si>
  <si>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</si>
  <si>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</si>
  <si>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</si>
  <si>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</si>
  <si>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</si>
  <si>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</si>
  <si>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</si>
  <si>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</si>
  <si>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</si>
  <si>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</si>
  <si>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</si>
  <si>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</si>
  <si>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</si>
  <si>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</si>
  <si>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</si>
  <si>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</si>
  <si>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</si>
  <si>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</si>
  <si>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</si>
  <si>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</si>
  <si>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</si>
  <si>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</si>
  <si>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</si>
  <si>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</si>
  <si>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</si>
  <si>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</si>
  <si>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</si>
  <si>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</si>
  <si>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</si>
  <si>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</si>
  <si>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</si>
  <si>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</si>
  <si>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</si>
  <si>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</si>
  <si>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</si>
  <si>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</si>
  <si>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</si>
  <si>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</si>
  <si>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</si>
  <si>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</si>
  <si>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</si>
  <si>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</si>
  <si>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</si>
  <si>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</si>
  <si>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</si>
  <si>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</si>
  <si>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</si>
  <si>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</si>
  <si>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</si>
  <si>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</si>
  <si>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</si>
  <si>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</si>
  <si>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</si>
  <si>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</si>
  <si>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</si>
  <si>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</si>
  <si>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</si>
  <si>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</si>
  <si>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</si>
  <si>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</si>
  <si>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</si>
  <si>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</si>
  <si>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</si>
  <si>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</si>
  <si>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</si>
  <si>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</si>
  <si>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</si>
  <si>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</si>
  <si>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</si>
  <si>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</si>
  <si>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</si>
  <si>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</si>
  <si>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</si>
  <si>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</si>
  <si>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</si>
  <si>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</si>
  <si>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</si>
  <si>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</si>
  <si>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</si>
  <si>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</si>
  <si>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</si>
  <si>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</si>
  <si>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</si>
  <si>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</si>
  <si>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</si>
  <si>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</si>
  <si>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</si>
  <si>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</si>
  <si>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</si>
  <si>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</si>
  <si>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</si>
  <si>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</si>
  <si>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</si>
  <si>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</si>
  <si>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</si>
  <si>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</si>
  <si>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</si>
  <si>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</si>
  <si>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</si>
  <si>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</si>
  <si>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</si>
  <si>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</si>
  <si>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</si>
  <si>
    <t>COTA-PARTE REFERENTE AO MÊS DE OUTUBRO DE 2025</t>
  </si>
  <si>
    <t>SALDO SETEMBRO/2025</t>
  </si>
  <si>
    <t>**Valor referente a cota parte apurada através de receita de anuidades em dívida ativa, recebido via depósito judicial e identificado no mês de Outubro/2025.</t>
  </si>
  <si>
    <t>Período: 01/10/2025 a 31/10/2025</t>
  </si>
  <si>
    <t>* Valor Repasssado ao CFMV referente a Cota-Parte em aberto apurado em Julho de 2025.</t>
  </si>
  <si>
    <t>*** Diferença na receita no valor de R$ 4.982,49, devido a erro nos boletos gerados em outros regionais com repasse.</t>
  </si>
  <si>
    <r>
      <t xml:space="preserve">R$ 40.357,78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R$ 41.855,76</t>
    </r>
  </si>
  <si>
    <t>Período: 01/11/2025 a 30/11/2025</t>
  </si>
  <si>
    <t>COTA-PARTE REFERENTE AO MÊS DE NOVEMBRO DE 2025</t>
  </si>
  <si>
    <t>SALDO OUTUBRO/2025</t>
  </si>
  <si>
    <t>*Valor referente a cota parte apurada através de receita de anuidades em dívida ativa, recebido via depósito judicial e identificado no mês de Novembro/2025</t>
  </si>
  <si>
    <r>
      <t xml:space="preserve">R$ 21.017,82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R$ 17.617,60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</si>
</sst>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4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4" fontId="13" fillId="0" borderId="11" xfId="0" applyNumberFormat="1" applyFont="1" applyBorder="1" applyAlignment="1"/>
    <xf numFmtId="14" fontId="13" fillId="0" borderId="12" xfId="0" applyNumberFormat="1" applyFont="1" applyBorder="1" applyAlignment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 applyAlignment="1"/>
    <xf numFmtId="165" fontId="13" fillId="0" borderId="13" xfId="0" applyNumberFormat="1" applyFont="1" applyBorder="1" applyAlignment="1"/>
    <xf numFmtId="0" fontId="2" fillId="2" borderId="35" xfId="0" applyFont="1" applyFill="1" applyBorder="1" applyAlignment="1"/>
    <xf numFmtId="0" fontId="2" fillId="2" borderId="29" xfId="0" applyFont="1" applyFill="1" applyBorder="1" applyAlignment="1"/>
    <xf numFmtId="0" fontId="2" fillId="2" borderId="36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10" fillId="2" borderId="30" xfId="0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0" fontId="8" fillId="2" borderId="33" xfId="0" applyFont="1" applyFill="1" applyBorder="1" applyAlignment="1">
      <alignment horizontal="center"/>
    </xf>
    <xf numFmtId="0" fontId="6" fillId="0" borderId="34" xfId="0" applyFont="1" applyBorder="1"/>
    <xf numFmtId="0" fontId="8" fillId="2" borderId="34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 wrapText="1"/>
    </xf>
    <xf numFmtId="0" fontId="8" fillId="2" borderId="34" xfId="0" applyFont="1" applyFill="1" applyBorder="1" applyAlignment="1">
      <alignment horizont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28</v>
      </c>
      <c r="C9" s="59"/>
      <c r="D9" s="59"/>
      <c r="E9" s="59"/>
      <c r="F9" s="59"/>
      <c r="G9" s="59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9" t="s">
        <v>16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3"/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63"/>
      <c r="C43" s="50"/>
      <c r="D43" s="50"/>
      <c r="E43" s="50"/>
      <c r="F43" s="50"/>
      <c r="G43" s="50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9"/>
      <c r="C44" s="50"/>
      <c r="D44" s="50"/>
      <c r="E44" s="50"/>
      <c r="F44" s="50"/>
      <c r="G44" s="50"/>
      <c r="H44" s="5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71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73</v>
      </c>
      <c r="C9" s="59"/>
      <c r="D9" s="59"/>
      <c r="E9" s="59"/>
      <c r="F9" s="59"/>
      <c r="G9" s="59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74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75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76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78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79</v>
      </c>
      <c r="C9" s="59"/>
      <c r="D9" s="59"/>
      <c r="E9" s="59"/>
      <c r="F9" s="59"/>
      <c r="G9" s="59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8" t="s">
        <v>10</v>
      </c>
      <c r="C37" s="69"/>
      <c r="D37" s="69"/>
      <c r="E37" s="69"/>
      <c r="F37" s="69"/>
      <c r="G37" s="69"/>
      <c r="H37" s="70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80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81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82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88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84</v>
      </c>
      <c r="C9" s="59"/>
      <c r="D9" s="59"/>
      <c r="E9" s="59"/>
      <c r="F9" s="59"/>
      <c r="G9" s="59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8" t="s">
        <v>10</v>
      </c>
      <c r="C36" s="69"/>
      <c r="D36" s="69"/>
      <c r="E36" s="69"/>
      <c r="F36" s="69"/>
      <c r="G36" s="69"/>
      <c r="H36" s="7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9" t="s">
        <v>85</v>
      </c>
      <c r="C37" s="50"/>
      <c r="D37" s="50"/>
      <c r="E37" s="50"/>
      <c r="F37" s="50"/>
      <c r="G37" s="50"/>
      <c r="H37" s="51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63" t="s">
        <v>86</v>
      </c>
      <c r="C38" s="67"/>
      <c r="D38" s="67"/>
      <c r="E38" s="67"/>
      <c r="F38" s="67"/>
      <c r="G38" s="67"/>
      <c r="H38" s="51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63" t="s">
        <v>87</v>
      </c>
      <c r="C39" s="50"/>
      <c r="D39" s="50"/>
      <c r="E39" s="50"/>
      <c r="F39" s="50"/>
      <c r="G39" s="50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63"/>
      <c r="C40" s="64"/>
      <c r="D40" s="64"/>
      <c r="E40" s="64"/>
      <c r="F40" s="64"/>
      <c r="G40" s="64"/>
      <c r="H40" s="6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52"/>
      <c r="C41" s="53"/>
      <c r="D41" s="53"/>
      <c r="E41" s="53"/>
      <c r="F41" s="53"/>
      <c r="G41" s="53"/>
      <c r="H41" s="54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90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28</v>
      </c>
      <c r="C9" s="59"/>
      <c r="D9" s="59"/>
      <c r="E9" s="59"/>
      <c r="F9" s="59"/>
      <c r="G9" s="59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91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52"/>
      <c r="C35" s="53"/>
      <c r="D35" s="53"/>
      <c r="E35" s="53"/>
      <c r="F35" s="53"/>
      <c r="G35" s="53"/>
      <c r="H35" s="54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97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93</v>
      </c>
      <c r="C9" s="59"/>
      <c r="D9" s="59"/>
      <c r="E9" s="59"/>
      <c r="F9" s="59"/>
      <c r="G9" s="59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94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63" t="s">
        <v>95</v>
      </c>
      <c r="C35" s="64"/>
      <c r="D35" s="64"/>
      <c r="E35" s="64"/>
      <c r="F35" s="64"/>
      <c r="G35" s="64"/>
      <c r="H35" s="65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63" t="s">
        <v>96</v>
      </c>
      <c r="C36" s="50"/>
      <c r="D36" s="50"/>
      <c r="E36" s="50"/>
      <c r="F36" s="50"/>
      <c r="G36" s="50"/>
      <c r="H36" s="5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52"/>
      <c r="C37" s="53"/>
      <c r="D37" s="53"/>
      <c r="E37" s="53"/>
      <c r="F37" s="53"/>
      <c r="G37" s="53"/>
      <c r="H37" s="54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98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100</v>
      </c>
      <c r="C9" s="59"/>
      <c r="D9" s="59"/>
      <c r="E9" s="59"/>
      <c r="F9" s="59"/>
      <c r="G9" s="59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68" t="s">
        <v>10</v>
      </c>
      <c r="C32" s="69"/>
      <c r="D32" s="69"/>
      <c r="E32" s="69"/>
      <c r="F32" s="69"/>
      <c r="G32" s="69"/>
      <c r="H32" s="70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9" t="s">
        <v>102</v>
      </c>
      <c r="C33" s="50"/>
      <c r="D33" s="50"/>
      <c r="E33" s="50"/>
      <c r="F33" s="50"/>
      <c r="G33" s="50"/>
      <c r="H33" s="5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63" t="s">
        <v>101</v>
      </c>
      <c r="C34" s="71"/>
      <c r="D34" s="71"/>
      <c r="E34" s="71"/>
      <c r="F34" s="71"/>
      <c r="G34" s="71"/>
      <c r="H34" s="72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63"/>
      <c r="C35" s="71"/>
      <c r="D35" s="71"/>
      <c r="E35" s="71"/>
      <c r="F35" s="71"/>
      <c r="G35" s="71"/>
      <c r="H35" s="72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52"/>
      <c r="C36" s="53"/>
      <c r="D36" s="53"/>
      <c r="E36" s="53"/>
      <c r="F36" s="53"/>
      <c r="G36" s="53"/>
      <c r="H36" s="54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104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105</v>
      </c>
      <c r="C9" s="59"/>
      <c r="D9" s="59"/>
      <c r="E9" s="59"/>
      <c r="F9" s="59"/>
      <c r="G9" s="59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106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9" t="s">
        <v>107</v>
      </c>
      <c r="C35" s="73"/>
      <c r="D35" s="73"/>
      <c r="E35" s="73"/>
      <c r="F35" s="73"/>
      <c r="G35" s="73"/>
      <c r="H35" s="7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3" t="s">
        <v>108</v>
      </c>
      <c r="C36" s="71"/>
      <c r="D36" s="71"/>
      <c r="E36" s="71"/>
      <c r="F36" s="71"/>
      <c r="G36" s="71"/>
      <c r="H36" s="7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3"/>
      <c r="C37" s="71"/>
      <c r="D37" s="71"/>
      <c r="E37" s="71"/>
      <c r="F37" s="71"/>
      <c r="G37" s="71"/>
      <c r="H37" s="72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2"/>
      <c r="C38" s="53"/>
      <c r="D38" s="53"/>
      <c r="E38" s="53"/>
      <c r="F38" s="53"/>
      <c r="G38" s="53"/>
      <c r="H38" s="54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4" zoomScale="110" zoomScaleNormal="110" workbookViewId="0">
      <selection activeCell="J38" sqref="J3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112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110</v>
      </c>
      <c r="C9" s="59"/>
      <c r="D9" s="59"/>
      <c r="E9" s="59"/>
      <c r="F9" s="59"/>
      <c r="G9" s="59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113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9" t="s">
        <v>111</v>
      </c>
      <c r="C35" s="73"/>
      <c r="D35" s="73"/>
      <c r="E35" s="73"/>
      <c r="F35" s="73"/>
      <c r="G35" s="73"/>
      <c r="H35" s="7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3"/>
      <c r="C36" s="71"/>
      <c r="D36" s="71"/>
      <c r="E36" s="71"/>
      <c r="F36" s="71"/>
      <c r="G36" s="71"/>
      <c r="H36" s="7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3"/>
      <c r="C37" s="71"/>
      <c r="D37" s="71"/>
      <c r="E37" s="71"/>
      <c r="F37" s="71"/>
      <c r="G37" s="71"/>
      <c r="H37" s="72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2"/>
      <c r="C38" s="53"/>
      <c r="D38" s="53"/>
      <c r="E38" s="53"/>
      <c r="F38" s="53"/>
      <c r="G38" s="53"/>
      <c r="H38" s="54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opLeftCell="A4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114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116</v>
      </c>
      <c r="C9" s="59"/>
      <c r="D9" s="59"/>
      <c r="E9" s="59"/>
      <c r="F9" s="59"/>
      <c r="G9" s="59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119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9" t="s">
        <v>117</v>
      </c>
      <c r="C35" s="73"/>
      <c r="D35" s="73"/>
      <c r="E35" s="73"/>
      <c r="F35" s="73"/>
      <c r="G35" s="73"/>
      <c r="H35" s="7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3" t="s">
        <v>118</v>
      </c>
      <c r="C36" s="71"/>
      <c r="D36" s="71"/>
      <c r="E36" s="71"/>
      <c r="F36" s="71"/>
      <c r="G36" s="71"/>
      <c r="H36" s="7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3"/>
      <c r="C37" s="71"/>
      <c r="D37" s="71"/>
      <c r="E37" s="71"/>
      <c r="F37" s="71"/>
      <c r="G37" s="71"/>
      <c r="H37" s="72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2"/>
      <c r="C38" s="53"/>
      <c r="D38" s="53"/>
      <c r="E38" s="53"/>
      <c r="F38" s="53"/>
      <c r="G38" s="53"/>
      <c r="H38" s="54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E42-231C-41F5-ADD6-2D3A099433DA}">
  <dimension ref="A1:Z1004"/>
  <sheetViews>
    <sheetView topLeftCell="A4" zoomScale="110" zoomScaleNormal="110" workbookViewId="0">
      <selection activeCell="D32" sqref="D10:D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124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116</v>
      </c>
      <c r="C9" s="59"/>
      <c r="D9" s="59"/>
      <c r="E9" s="59"/>
      <c r="F9" s="59"/>
      <c r="G9" s="59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8" t="s">
        <v>10</v>
      </c>
      <c r="C35" s="69"/>
      <c r="D35" s="69"/>
      <c r="E35" s="69"/>
      <c r="F35" s="69"/>
      <c r="G35" s="69"/>
      <c r="H35" s="70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9" t="s">
        <v>122</v>
      </c>
      <c r="C36" s="50"/>
      <c r="D36" s="50"/>
      <c r="E36" s="50"/>
      <c r="F36" s="50"/>
      <c r="G36" s="50"/>
      <c r="H36" s="5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9" t="s">
        <v>120</v>
      </c>
      <c r="C37" s="73"/>
      <c r="D37" s="73"/>
      <c r="E37" s="73"/>
      <c r="F37" s="73"/>
      <c r="G37" s="73"/>
      <c r="H37" s="7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3" t="s">
        <v>121</v>
      </c>
      <c r="C38" s="71"/>
      <c r="D38" s="71"/>
      <c r="E38" s="71"/>
      <c r="F38" s="71"/>
      <c r="G38" s="71"/>
      <c r="H38" s="7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3"/>
      <c r="C39" s="71"/>
      <c r="D39" s="71"/>
      <c r="E39" s="71"/>
      <c r="F39" s="71"/>
      <c r="G39" s="71"/>
      <c r="H39" s="7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2"/>
      <c r="C40" s="53"/>
      <c r="D40" s="53"/>
      <c r="E40" s="53"/>
      <c r="F40" s="53"/>
      <c r="G40" s="53"/>
      <c r="H40" s="54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27</v>
      </c>
      <c r="C9" s="59"/>
      <c r="D9" s="59"/>
      <c r="E9" s="59"/>
      <c r="F9" s="59"/>
      <c r="G9" s="59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0" t="s">
        <v>10</v>
      </c>
      <c r="C38" s="61"/>
      <c r="D38" s="61"/>
      <c r="E38" s="61"/>
      <c r="F38" s="61"/>
      <c r="G38" s="61"/>
      <c r="H38" s="6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9" t="s">
        <v>21</v>
      </c>
      <c r="C39" s="50"/>
      <c r="D39" s="50"/>
      <c r="E39" s="50"/>
      <c r="F39" s="50"/>
      <c r="G39" s="50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3" t="s">
        <v>22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3" t="s">
        <v>23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2"/>
      <c r="C43" s="53"/>
      <c r="D43" s="53"/>
      <c r="E43" s="53"/>
      <c r="F43" s="53"/>
      <c r="G43" s="53"/>
      <c r="H43" s="54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9D56D-6545-4216-8E79-B771F00A331F}">
  <dimension ref="A1:Z1004"/>
  <sheetViews>
    <sheetView topLeftCell="A7" zoomScale="110" zoomScaleNormal="110" workbookViewId="0">
      <selection activeCell="K37" sqref="K3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130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126</v>
      </c>
      <c r="C9" s="59"/>
      <c r="D9" s="59"/>
      <c r="E9" s="59"/>
      <c r="F9" s="59"/>
      <c r="G9" s="59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8" t="s">
        <v>10</v>
      </c>
      <c r="C35" s="69"/>
      <c r="D35" s="69"/>
      <c r="E35" s="69"/>
      <c r="F35" s="69"/>
      <c r="G35" s="69"/>
      <c r="H35" s="70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9" t="s">
        <v>127</v>
      </c>
      <c r="C36" s="50"/>
      <c r="D36" s="50"/>
      <c r="E36" s="50"/>
      <c r="F36" s="50"/>
      <c r="G36" s="50"/>
      <c r="H36" s="5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9" t="s">
        <v>141</v>
      </c>
      <c r="C37" s="73"/>
      <c r="D37" s="73"/>
      <c r="E37" s="73"/>
      <c r="F37" s="73"/>
      <c r="G37" s="73"/>
      <c r="H37" s="7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3" t="s">
        <v>129</v>
      </c>
      <c r="C38" s="71"/>
      <c r="D38" s="71"/>
      <c r="E38" s="71"/>
      <c r="F38" s="71"/>
      <c r="G38" s="71"/>
      <c r="H38" s="7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3"/>
      <c r="C39" s="71"/>
      <c r="D39" s="71"/>
      <c r="E39" s="71"/>
      <c r="F39" s="71"/>
      <c r="G39" s="71"/>
      <c r="H39" s="7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2"/>
      <c r="C40" s="53"/>
      <c r="D40" s="53"/>
      <c r="E40" s="53"/>
      <c r="F40" s="53"/>
      <c r="G40" s="53"/>
      <c r="H40" s="54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BE79-B111-4F00-B43B-93BB820E1641}">
  <dimension ref="A1:XFD1004"/>
  <sheetViews>
    <sheetView topLeftCell="A8" zoomScale="110" zoomScaleNormal="110" workbookViewId="0">
      <selection activeCell="D28" sqref="D2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132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133</v>
      </c>
      <c r="C9" s="59"/>
      <c r="D9" s="59"/>
      <c r="E9" s="59"/>
      <c r="F9" s="59"/>
      <c r="G9" s="59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1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42">
        <v>45924</v>
      </c>
      <c r="C28" s="43" t="s">
        <v>11</v>
      </c>
      <c r="D28" s="44">
        <v>11341.88</v>
      </c>
      <c r="E28" s="45">
        <f>D28-F28</f>
        <v>8506.41</v>
      </c>
      <c r="F28" s="45">
        <f t="shared" si="3"/>
        <v>2835.47</v>
      </c>
      <c r="G28" s="45">
        <v>2836.18</v>
      </c>
      <c r="H28" s="41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>H31+F32-G32</f>
        <v>2836.7150000000015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8" t="s">
        <v>10</v>
      </c>
      <c r="C35" s="69"/>
      <c r="D35" s="69"/>
      <c r="E35" s="69"/>
      <c r="F35" s="69"/>
      <c r="G35" s="69"/>
      <c r="H35" s="70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9" t="s">
        <v>135</v>
      </c>
      <c r="C36" s="50"/>
      <c r="D36" s="50"/>
      <c r="E36" s="50"/>
      <c r="F36" s="50"/>
      <c r="G36" s="50"/>
      <c r="H36" s="5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9" t="s">
        <v>128</v>
      </c>
      <c r="C37" s="73"/>
      <c r="D37" s="73"/>
      <c r="E37" s="73"/>
      <c r="F37" s="73"/>
      <c r="G37" s="73"/>
      <c r="H37" s="7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3" t="s">
        <v>136</v>
      </c>
      <c r="C38" s="71"/>
      <c r="D38" s="71"/>
      <c r="E38" s="71"/>
      <c r="F38" s="71"/>
      <c r="G38" s="71"/>
      <c r="H38" s="7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3"/>
      <c r="C39" s="71"/>
      <c r="D39" s="71"/>
      <c r="E39" s="71"/>
      <c r="F39" s="71"/>
      <c r="G39" s="71"/>
      <c r="H39" s="7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2"/>
      <c r="C40" s="53"/>
      <c r="D40" s="53"/>
      <c r="E40" s="53"/>
      <c r="F40" s="53"/>
      <c r="G40" s="53"/>
      <c r="H40" s="54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F101-C5FD-426A-8AEB-B2BA7445D97A}">
  <dimension ref="A1:XFD1006"/>
  <sheetViews>
    <sheetView topLeftCell="A13" zoomScale="110" zoomScaleNormal="110" workbookViewId="0">
      <selection activeCell="K23" sqref="K2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137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138</v>
      </c>
      <c r="C9" s="59"/>
      <c r="D9" s="59"/>
      <c r="E9" s="59"/>
      <c r="F9" s="59"/>
      <c r="G9" s="59"/>
      <c r="H9" s="12">
        <v>3263.7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45931</v>
      </c>
      <c r="C10" s="13" t="s">
        <v>8</v>
      </c>
      <c r="D10" s="23">
        <f>16516.34+163</f>
        <v>16679.34</v>
      </c>
      <c r="E10" s="23">
        <f>D10-F10</f>
        <v>12509.505000000001</v>
      </c>
      <c r="F10" s="23">
        <f>+D10*0.25</f>
        <v>4169.835</v>
      </c>
      <c r="G10" s="23">
        <f>4128.86+40.75</f>
        <v>4169.6099999999997</v>
      </c>
      <c r="H10" s="12">
        <f>H9+F10-G10</f>
        <v>3263.9250000000002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45932</v>
      </c>
      <c r="C11" s="13" t="s">
        <v>8</v>
      </c>
      <c r="D11" s="23">
        <f>2694.53+1473</f>
        <v>4167.5300000000007</v>
      </c>
      <c r="E11" s="23">
        <f t="shared" ref="E11:E34" si="1">D11-F11</f>
        <v>3125.6475000000005</v>
      </c>
      <c r="F11" s="23">
        <f>+D11*0.25</f>
        <v>1041.8825000000002</v>
      </c>
      <c r="G11" s="23">
        <f>673.6+368.25</f>
        <v>1041.8499999999999</v>
      </c>
      <c r="H11" s="12">
        <f t="shared" ref="H11:H32" si="2">H10+F11-G11</f>
        <v>3263.9575000000009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45933</v>
      </c>
      <c r="C12" s="13" t="s">
        <v>8</v>
      </c>
      <c r="D12" s="23">
        <f>2698.47+123</f>
        <v>2821.47</v>
      </c>
      <c r="E12" s="23">
        <f t="shared" si="1"/>
        <v>2116.1025</v>
      </c>
      <c r="F12" s="23">
        <f t="shared" ref="F12:F34" si="3">+D12*0.25</f>
        <v>705.36749999999995</v>
      </c>
      <c r="G12" s="23">
        <f>674.61+30.75</f>
        <v>705.36</v>
      </c>
      <c r="H12" s="12">
        <f t="shared" si="2"/>
        <v>3263.9650000000006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45936</v>
      </c>
      <c r="C13" s="13" t="s">
        <v>8</v>
      </c>
      <c r="D13" s="23">
        <f>3361.74+251</f>
        <v>3612.74</v>
      </c>
      <c r="E13" s="23">
        <f>D13-F13</f>
        <v>2709.5549999999998</v>
      </c>
      <c r="F13" s="23">
        <f>+D13*0.25</f>
        <v>903.18499999999995</v>
      </c>
      <c r="G13" s="23">
        <f>840.43+62.75</f>
        <v>903.18</v>
      </c>
      <c r="H13" s="12">
        <f t="shared" si="2"/>
        <v>3263.9700000000007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45937</v>
      </c>
      <c r="C14" s="13" t="s">
        <v>8</v>
      </c>
      <c r="D14" s="23">
        <f>4835.43+123</f>
        <v>4958.43</v>
      </c>
      <c r="E14" s="23">
        <f t="shared" si="1"/>
        <v>3718.8225000000002</v>
      </c>
      <c r="F14" s="23">
        <f t="shared" si="3"/>
        <v>1239.6075000000001</v>
      </c>
      <c r="G14" s="23">
        <f>1208.81+30.75</f>
        <v>1239.56</v>
      </c>
      <c r="H14" s="12">
        <f t="shared" si="2"/>
        <v>3264.0175000000013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45938</v>
      </c>
      <c r="C15" s="13" t="s">
        <v>8</v>
      </c>
      <c r="D15" s="23">
        <f>4668.93+4662.76</f>
        <v>9331.69</v>
      </c>
      <c r="E15" s="23">
        <f t="shared" si="1"/>
        <v>6998.7674999999999</v>
      </c>
      <c r="F15" s="23">
        <f t="shared" si="3"/>
        <v>2332.9225000000001</v>
      </c>
      <c r="G15" s="23">
        <f>1167.2+1165.68</f>
        <v>2332.88</v>
      </c>
      <c r="H15" s="12">
        <f t="shared" si="2"/>
        <v>3264.0600000000013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45939</v>
      </c>
      <c r="C16" s="13" t="s">
        <v>8</v>
      </c>
      <c r="D16" s="23">
        <f>6704.11+1801</f>
        <v>8505.11</v>
      </c>
      <c r="E16" s="23">
        <f t="shared" si="1"/>
        <v>6378.8325000000004</v>
      </c>
      <c r="F16" s="23">
        <f t="shared" si="3"/>
        <v>2126.2775000000001</v>
      </c>
      <c r="G16" s="23">
        <f>1675.97+450.25</f>
        <v>2126.2200000000003</v>
      </c>
      <c r="H16" s="12">
        <f t="shared" si="2"/>
        <v>3264.1175000000012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45940</v>
      </c>
      <c r="C17" s="13" t="s">
        <v>8</v>
      </c>
      <c r="D17" s="23">
        <f>6198.25+326</f>
        <v>6524.25</v>
      </c>
      <c r="E17" s="23">
        <f t="shared" si="1"/>
        <v>4893.1875</v>
      </c>
      <c r="F17" s="23">
        <f t="shared" si="3"/>
        <v>1631.0625</v>
      </c>
      <c r="G17" s="23">
        <f>1549.51+81.5</f>
        <v>1631.01</v>
      </c>
      <c r="H17" s="12">
        <f t="shared" si="2"/>
        <v>3264.170000000001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45943</v>
      </c>
      <c r="C18" s="13" t="s">
        <v>8</v>
      </c>
      <c r="D18" s="23">
        <f>10844.52+5083</f>
        <v>15927.52</v>
      </c>
      <c r="E18" s="23">
        <f t="shared" si="1"/>
        <v>11945.64</v>
      </c>
      <c r="F18" s="23">
        <f t="shared" si="3"/>
        <v>3981.88</v>
      </c>
      <c r="G18" s="23">
        <f>2711.06+1270.75</f>
        <v>3981.81</v>
      </c>
      <c r="H18" s="12">
        <f t="shared" si="2"/>
        <v>3264.2400000000011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45944</v>
      </c>
      <c r="C19" s="13" t="s">
        <v>8</v>
      </c>
      <c r="D19" s="23">
        <f>5950.56+326</f>
        <v>6276.56</v>
      </c>
      <c r="E19" s="23">
        <f t="shared" si="1"/>
        <v>4707.42</v>
      </c>
      <c r="F19" s="23">
        <f t="shared" si="3"/>
        <v>1569.14</v>
      </c>
      <c r="G19" s="23">
        <f>1487.59+81.5</f>
        <v>1569.09</v>
      </c>
      <c r="H19" s="12">
        <f t="shared" si="2"/>
        <v>3264.2900000000009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45945</v>
      </c>
      <c r="C20" s="13" t="s">
        <v>8</v>
      </c>
      <c r="D20" s="23">
        <f>1044.15+489</f>
        <v>1533.15</v>
      </c>
      <c r="E20" s="23">
        <f t="shared" si="1"/>
        <v>1149.8625000000002</v>
      </c>
      <c r="F20" s="23">
        <f t="shared" si="3"/>
        <v>383.28750000000002</v>
      </c>
      <c r="G20" s="23">
        <f>261.02+122.25</f>
        <v>383.27</v>
      </c>
      <c r="H20" s="12">
        <f t="shared" si="2"/>
        <v>3264.3075000000008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45946</v>
      </c>
      <c r="C21" s="13" t="s">
        <v>8</v>
      </c>
      <c r="D21" s="23">
        <f>3512.29+1473</f>
        <v>4985.29</v>
      </c>
      <c r="E21" s="23">
        <f t="shared" si="1"/>
        <v>3738.9674999999997</v>
      </c>
      <c r="F21" s="23">
        <f t="shared" si="3"/>
        <v>1246.3225</v>
      </c>
      <c r="G21" s="23">
        <f>878.03+368.25</f>
        <v>1246.28</v>
      </c>
      <c r="H21" s="12">
        <f>H20+F21-G21</f>
        <v>3264.3500000000013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45947</v>
      </c>
      <c r="C22" s="13" t="s">
        <v>8</v>
      </c>
      <c r="D22" s="23">
        <f>4342.38+778</f>
        <v>5120.38</v>
      </c>
      <c r="E22" s="23">
        <f t="shared" si="1"/>
        <v>3840.2849999999999</v>
      </c>
      <c r="F22" s="23">
        <f t="shared" si="3"/>
        <v>1280.095</v>
      </c>
      <c r="G22" s="23">
        <f>1085.57+194.5</f>
        <v>1280.07</v>
      </c>
      <c r="H22" s="12">
        <f t="shared" si="2"/>
        <v>3264.3750000000018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45950</v>
      </c>
      <c r="C23" s="13" t="s">
        <v>8</v>
      </c>
      <c r="D23" s="23">
        <f>1300.89+981</f>
        <v>2281.8900000000003</v>
      </c>
      <c r="E23" s="23">
        <f t="shared" si="1"/>
        <v>1711.4175000000002</v>
      </c>
      <c r="F23" s="23">
        <f t="shared" si="3"/>
        <v>570.47250000000008</v>
      </c>
      <c r="G23" s="23">
        <f>325.22+245.25</f>
        <v>570.47</v>
      </c>
      <c r="H23" s="12">
        <f t="shared" si="2"/>
        <v>3264.3775000000014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45951</v>
      </c>
      <c r="C24" s="13" t="s">
        <v>8</v>
      </c>
      <c r="D24" s="23">
        <f>6707.56+1989.4</f>
        <v>8696.9600000000009</v>
      </c>
      <c r="E24" s="23">
        <f t="shared" si="1"/>
        <v>6522.7200000000012</v>
      </c>
      <c r="F24" s="23">
        <f t="shared" si="3"/>
        <v>2174.2400000000002</v>
      </c>
      <c r="G24" s="23">
        <f>1676.87+497.35</f>
        <v>2174.2199999999998</v>
      </c>
      <c r="H24" s="12">
        <f>H23+F24-G24</f>
        <v>3264.3975000000023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45952</v>
      </c>
      <c r="C25" s="13" t="s">
        <v>8</v>
      </c>
      <c r="D25" s="23">
        <f>4956.82</f>
        <v>4956.82</v>
      </c>
      <c r="E25" s="23">
        <f t="shared" si="1"/>
        <v>3717.6149999999998</v>
      </c>
      <c r="F25" s="23">
        <f t="shared" si="3"/>
        <v>1239.2049999999999</v>
      </c>
      <c r="G25" s="23">
        <v>1239.19</v>
      </c>
      <c r="H25" s="12">
        <f>H24+F25-G25</f>
        <v>3264.4125000000026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45953</v>
      </c>
      <c r="C26" s="13" t="s">
        <v>8</v>
      </c>
      <c r="D26" s="23">
        <f>8880.73+326</f>
        <v>9206.73</v>
      </c>
      <c r="E26" s="23">
        <f t="shared" si="1"/>
        <v>6905.0474999999997</v>
      </c>
      <c r="F26" s="23">
        <f t="shared" si="3"/>
        <v>2301.6824999999999</v>
      </c>
      <c r="G26" s="23">
        <f>2220.18+81.5</f>
        <v>2301.6799999999998</v>
      </c>
      <c r="H26" s="12">
        <f t="shared" si="2"/>
        <v>3264.4150000000031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45954</v>
      </c>
      <c r="C27" s="13" t="s">
        <v>8</v>
      </c>
      <c r="D27" s="23">
        <f>1747.95+941</f>
        <v>2688.95</v>
      </c>
      <c r="E27" s="23">
        <f>D27-F27</f>
        <v>2016.7124999999999</v>
      </c>
      <c r="F27" s="23">
        <f t="shared" si="3"/>
        <v>672.23749999999995</v>
      </c>
      <c r="G27" s="23">
        <f>436.97+235.25</f>
        <v>672.22</v>
      </c>
      <c r="H27" s="12">
        <f t="shared" si="2"/>
        <v>3264.4325000000026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45957</v>
      </c>
      <c r="C28" s="13" t="s">
        <v>8</v>
      </c>
      <c r="D28" s="23">
        <f>5733.81+815</f>
        <v>6548.81</v>
      </c>
      <c r="E28" s="23">
        <f t="shared" si="1"/>
        <v>4911.6075000000001</v>
      </c>
      <c r="F28" s="23">
        <f t="shared" si="3"/>
        <v>1637.2025000000001</v>
      </c>
      <c r="G28" s="23">
        <f>1433.42+203.75</f>
        <v>1637.17</v>
      </c>
      <c r="H28" s="12">
        <f t="shared" si="2"/>
        <v>3264.4650000000029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63956.254999999997</v>
      </c>
    </row>
    <row r="29" spans="1:26 16384:16384" ht="15.75" customHeight="1" x14ac:dyDescent="0.25">
      <c r="A29" s="31"/>
      <c r="B29" s="22">
        <f t="shared" si="0"/>
        <v>45958</v>
      </c>
      <c r="C29" s="13" t="s">
        <v>8</v>
      </c>
      <c r="D29" s="38">
        <f>3478.98+259.2</f>
        <v>3738.18</v>
      </c>
      <c r="E29" s="23">
        <f t="shared" si="1"/>
        <v>2803.6349999999998</v>
      </c>
      <c r="F29" s="23">
        <f t="shared" si="3"/>
        <v>934.54499999999996</v>
      </c>
      <c r="G29" s="23">
        <f>869.73+64.8</f>
        <v>934.53</v>
      </c>
      <c r="H29" s="12">
        <f t="shared" si="2"/>
        <v>3264.4800000000032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32" t="s">
        <v>12</v>
      </c>
      <c r="B30" s="42">
        <v>45958</v>
      </c>
      <c r="C30" s="43" t="s">
        <v>11</v>
      </c>
      <c r="D30" s="44"/>
      <c r="E30" s="45">
        <f>D30-F30</f>
        <v>0</v>
      </c>
      <c r="F30" s="45">
        <f t="shared" ref="F30" si="4">+D30*0.25</f>
        <v>0</v>
      </c>
      <c r="G30" s="45">
        <v>3263.7</v>
      </c>
      <c r="H30" s="12">
        <f t="shared" si="2"/>
        <v>0.78000000000338332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>B29+(MOD(B29,7)=6)*2+1</f>
        <v>45959</v>
      </c>
      <c r="C31" s="13" t="s">
        <v>8</v>
      </c>
      <c r="D31" s="38">
        <f>1743.81+330.57</f>
        <v>2074.38</v>
      </c>
      <c r="E31" s="23">
        <f t="shared" si="1"/>
        <v>1555.7850000000001</v>
      </c>
      <c r="F31" s="23">
        <f t="shared" si="3"/>
        <v>518.59500000000003</v>
      </c>
      <c r="G31" s="23">
        <f>435.92+82.64</f>
        <v>518.56000000000006</v>
      </c>
      <c r="H31" s="12">
        <f t="shared" si="2"/>
        <v>0.81500000000335149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45960</v>
      </c>
      <c r="C32" s="13" t="s">
        <v>8</v>
      </c>
      <c r="D32" s="38">
        <f>4759.59+755.7</f>
        <v>5515.29</v>
      </c>
      <c r="E32" s="23">
        <f t="shared" si="1"/>
        <v>4136.4674999999997</v>
      </c>
      <c r="F32" s="23">
        <f t="shared" si="3"/>
        <v>1378.8225</v>
      </c>
      <c r="G32" s="23">
        <f>1189.86+188.92</f>
        <v>1378.78</v>
      </c>
      <c r="H32" s="12">
        <f t="shared" si="2"/>
        <v>0.85750000000348336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B33" s="22">
        <f t="shared" si="0"/>
        <v>45961</v>
      </c>
      <c r="C33" s="13" t="s">
        <v>8</v>
      </c>
      <c r="D33" s="38">
        <f>18058.09+163</f>
        <v>18221.09</v>
      </c>
      <c r="E33" s="23">
        <f t="shared" si="1"/>
        <v>13665.817500000001</v>
      </c>
      <c r="F33" s="23">
        <f t="shared" si="3"/>
        <v>4555.2725</v>
      </c>
      <c r="G33" s="23">
        <f>4514.3+40.75</f>
        <v>4555.05</v>
      </c>
      <c r="H33" s="12">
        <f>H32+F33-G33</f>
        <v>1.0800000000035652</v>
      </c>
      <c r="I33" s="40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 t="s">
        <v>13</v>
      </c>
      <c r="B34" s="22">
        <v>45961</v>
      </c>
      <c r="C34" s="13" t="s">
        <v>8</v>
      </c>
      <c r="D34" s="38">
        <v>7058.56</v>
      </c>
      <c r="E34" s="23">
        <f t="shared" si="1"/>
        <v>5293.92</v>
      </c>
      <c r="F34" s="23">
        <f t="shared" si="3"/>
        <v>1764.64</v>
      </c>
      <c r="G34" s="23">
        <v>0</v>
      </c>
      <c r="H34" s="12">
        <f>F34+H33</f>
        <v>1765.7200000000037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thickBot="1" x14ac:dyDescent="0.3">
      <c r="A35" s="2"/>
      <c r="B35" s="18" t="s">
        <v>9</v>
      </c>
      <c r="C35" s="19"/>
      <c r="D35" s="20">
        <f>SUM(D10:D34)</f>
        <v>161431.12</v>
      </c>
      <c r="E35" s="20">
        <f>SUM(E10:E34)</f>
        <v>121073.34</v>
      </c>
      <c r="F35" s="20">
        <f>SUM(F10:F34)</f>
        <v>40357.78</v>
      </c>
      <c r="G35" s="20">
        <f>SUM(G10:G34)</f>
        <v>41855.759999999995</v>
      </c>
      <c r="H35" s="12">
        <f>H34</f>
        <v>1765.7200000000037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75" t="s">
        <v>10</v>
      </c>
      <c r="C36" s="76"/>
      <c r="D36" s="76"/>
      <c r="E36" s="76"/>
      <c r="F36" s="76"/>
      <c r="G36" s="76"/>
      <c r="H36" s="7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8" t="s">
        <v>143</v>
      </c>
      <c r="C37" s="67"/>
      <c r="D37" s="67"/>
      <c r="E37" s="67"/>
      <c r="F37" s="67"/>
      <c r="G37" s="67"/>
      <c r="H37" s="79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31"/>
      <c r="B38" s="78" t="s">
        <v>134</v>
      </c>
      <c r="C38" s="73"/>
      <c r="D38" s="73"/>
      <c r="E38" s="73"/>
      <c r="F38" s="73"/>
      <c r="G38" s="73"/>
      <c r="H38" s="8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81" t="s">
        <v>139</v>
      </c>
      <c r="C39" s="71"/>
      <c r="D39" s="71"/>
      <c r="E39" s="71"/>
      <c r="F39" s="71"/>
      <c r="G39" s="71"/>
      <c r="H39" s="8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81"/>
      <c r="C40" s="71"/>
      <c r="D40" s="71"/>
      <c r="E40" s="71"/>
      <c r="F40" s="71"/>
      <c r="G40" s="71"/>
      <c r="H40" s="82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83" t="s">
        <v>142</v>
      </c>
      <c r="C41" s="84"/>
      <c r="D41" s="84"/>
      <c r="E41" s="84"/>
      <c r="F41" s="84"/>
      <c r="G41" s="84"/>
      <c r="H41" s="85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5">
      <c r="A42" s="29"/>
      <c r="B42" s="83"/>
      <c r="C42" s="84"/>
      <c r="D42" s="84"/>
      <c r="E42" s="84"/>
      <c r="F42" s="84"/>
      <c r="G42" s="84"/>
      <c r="H42" s="8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"/>
      <c r="B43" s="46"/>
      <c r="C43" s="47"/>
      <c r="D43" s="47"/>
      <c r="E43" s="47"/>
      <c r="F43" s="47"/>
      <c r="G43" s="47"/>
      <c r="H43" s="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7">
    <mergeCell ref="B39:H40"/>
    <mergeCell ref="B41:H42"/>
    <mergeCell ref="B7:H7"/>
    <mergeCell ref="B9:G9"/>
    <mergeCell ref="B36:H36"/>
    <mergeCell ref="B37:H37"/>
    <mergeCell ref="B38:H38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5B6F-90CE-4526-A3DE-6687400BEEDD}">
  <dimension ref="A1:XFD999"/>
  <sheetViews>
    <sheetView tabSelected="1" zoomScale="110" zoomScaleNormal="110" workbookViewId="0">
      <selection activeCell="J18" sqref="J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145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146</v>
      </c>
      <c r="C9" s="59"/>
      <c r="D9" s="59"/>
      <c r="E9" s="59"/>
      <c r="F9" s="59"/>
      <c r="G9" s="59"/>
      <c r="H9" s="12">
        <v>1765.72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45964</v>
      </c>
      <c r="C10" s="13" t="s">
        <v>8</v>
      </c>
      <c r="D10" s="23">
        <f>3187.27+449</f>
        <v>3636.27</v>
      </c>
      <c r="E10" s="23">
        <f>D10-F10</f>
        <v>2727.2024999999999</v>
      </c>
      <c r="F10" s="23">
        <f>+D10*0.25</f>
        <v>909.0675</v>
      </c>
      <c r="G10" s="23">
        <f>796.8+112.25</f>
        <v>909.05</v>
      </c>
      <c r="H10" s="12">
        <f>H9+F10-G10</f>
        <v>1765.7375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7" si="0">B10+(MOD(B10,7)=6)*2+1</f>
        <v>45965</v>
      </c>
      <c r="C11" s="13" t="s">
        <v>8</v>
      </c>
      <c r="D11" s="23">
        <f>3446.76+246</f>
        <v>3692.76</v>
      </c>
      <c r="E11" s="23">
        <f t="shared" ref="E11:E29" si="1">D11-F11</f>
        <v>2769.57</v>
      </c>
      <c r="F11" s="23">
        <f>+D11*0.25</f>
        <v>923.19</v>
      </c>
      <c r="G11" s="23">
        <f>861.67+61.5</f>
        <v>923.17</v>
      </c>
      <c r="H11" s="12">
        <f t="shared" ref="H11:H29" si="2">H10+F11-G11</f>
        <v>1765.7574999999997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45966</v>
      </c>
      <c r="C12" s="13" t="s">
        <v>8</v>
      </c>
      <c r="D12" s="23">
        <f>3288.66+577</f>
        <v>3865.66</v>
      </c>
      <c r="E12" s="23">
        <f t="shared" si="1"/>
        <v>2899.2449999999999</v>
      </c>
      <c r="F12" s="23">
        <f t="shared" ref="F12:F29" si="3">+D12*0.25</f>
        <v>966.41499999999996</v>
      </c>
      <c r="G12" s="23">
        <f>822.14+144.25</f>
        <v>966.39</v>
      </c>
      <c r="H12" s="12">
        <f t="shared" si="2"/>
        <v>1765.7824999999998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45967</v>
      </c>
      <c r="C13" s="13" t="s">
        <v>8</v>
      </c>
      <c r="D13" s="23">
        <f>6636.9+489</f>
        <v>7125.9</v>
      </c>
      <c r="E13" s="23">
        <f>D13-F13</f>
        <v>5344.4249999999993</v>
      </c>
      <c r="F13" s="23">
        <f>+D13*0.25</f>
        <v>1781.4749999999999</v>
      </c>
      <c r="G13" s="23">
        <f>1659.19+122.25</f>
        <v>1781.44</v>
      </c>
      <c r="H13" s="12">
        <f t="shared" si="2"/>
        <v>1765.8174999999997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45968</v>
      </c>
      <c r="C14" s="13" t="s">
        <v>8</v>
      </c>
      <c r="D14" s="23">
        <f>2045.03+286</f>
        <v>2331.0299999999997</v>
      </c>
      <c r="E14" s="23">
        <f t="shared" si="1"/>
        <v>1748.2724999999998</v>
      </c>
      <c r="F14" s="23">
        <f t="shared" si="3"/>
        <v>582.75749999999994</v>
      </c>
      <c r="G14" s="23">
        <f>511.23+71.5</f>
        <v>582.73</v>
      </c>
      <c r="H14" s="12">
        <f t="shared" si="2"/>
        <v>1765.8449999999998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45971</v>
      </c>
      <c r="C15" s="13" t="s">
        <v>8</v>
      </c>
      <c r="D15" s="23">
        <f>2212.44+668.11</f>
        <v>2880.55</v>
      </c>
      <c r="E15" s="23">
        <f t="shared" si="1"/>
        <v>2160.4125000000004</v>
      </c>
      <c r="F15" s="23">
        <f t="shared" si="3"/>
        <v>720.13750000000005</v>
      </c>
      <c r="G15" s="23">
        <f>553.1+167.02</f>
        <v>720.12</v>
      </c>
      <c r="H15" s="12">
        <f t="shared" si="2"/>
        <v>1765.8625000000002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45972</v>
      </c>
      <c r="C16" s="13" t="s">
        <v>8</v>
      </c>
      <c r="D16" s="23">
        <f>7939.99+163</f>
        <v>8102.99</v>
      </c>
      <c r="E16" s="23">
        <f t="shared" si="1"/>
        <v>6077.2425000000003</v>
      </c>
      <c r="F16" s="23">
        <f t="shared" si="3"/>
        <v>2025.7474999999999</v>
      </c>
      <c r="G16" s="23">
        <f>1984.94+40.75</f>
        <v>2025.69</v>
      </c>
      <c r="H16" s="12">
        <f t="shared" si="2"/>
        <v>1765.92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45973</v>
      </c>
      <c r="C17" s="13" t="s">
        <v>8</v>
      </c>
      <c r="D17" s="23">
        <f>3980.06+1296.39</f>
        <v>5276.45</v>
      </c>
      <c r="E17" s="23">
        <f t="shared" si="1"/>
        <v>3957.3374999999996</v>
      </c>
      <c r="F17" s="23">
        <f t="shared" si="3"/>
        <v>1319.1125</v>
      </c>
      <c r="G17" s="23">
        <f>994.97+324.09</f>
        <v>1319.06</v>
      </c>
      <c r="H17" s="12">
        <f t="shared" si="2"/>
        <v>1765.9725000000003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45974</v>
      </c>
      <c r="C18" s="13" t="s">
        <v>8</v>
      </c>
      <c r="D18" s="23">
        <f>3279.09+326</f>
        <v>3605.09</v>
      </c>
      <c r="E18" s="23">
        <f t="shared" si="1"/>
        <v>2703.8175000000001</v>
      </c>
      <c r="F18" s="23">
        <f t="shared" si="3"/>
        <v>901.27250000000004</v>
      </c>
      <c r="G18" s="23">
        <f>819.75+81.5</f>
        <v>901.25</v>
      </c>
      <c r="H18" s="12">
        <f t="shared" si="2"/>
        <v>1765.9950000000003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45975</v>
      </c>
      <c r="C19" s="13" t="s">
        <v>8</v>
      </c>
      <c r="D19" s="23">
        <f>4810.23+492</f>
        <v>5302.23</v>
      </c>
      <c r="E19" s="23">
        <f t="shared" si="1"/>
        <v>3976.6724999999997</v>
      </c>
      <c r="F19" s="23">
        <f t="shared" si="3"/>
        <v>1325.5574999999999</v>
      </c>
      <c r="G19" s="23">
        <f>1202.54+123</f>
        <v>1325.54</v>
      </c>
      <c r="H19" s="12">
        <f t="shared" si="2"/>
        <v>1766.0125000000003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45978</v>
      </c>
      <c r="C20" s="13" t="s">
        <v>8</v>
      </c>
      <c r="D20" s="23">
        <f>6983.75+163</f>
        <v>7146.75</v>
      </c>
      <c r="E20" s="23">
        <f t="shared" si="1"/>
        <v>5360.0625</v>
      </c>
      <c r="F20" s="23">
        <f t="shared" si="3"/>
        <v>1786.6875</v>
      </c>
      <c r="G20" s="23">
        <f>1745.9+40.75</f>
        <v>1786.65</v>
      </c>
      <c r="H20" s="12">
        <f t="shared" si="2"/>
        <v>1766.0500000000002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45979</v>
      </c>
      <c r="C21" s="13" t="s">
        <v>8</v>
      </c>
      <c r="D21" s="23">
        <f>3679.9+492</f>
        <v>4171.8999999999996</v>
      </c>
      <c r="E21" s="23">
        <f t="shared" si="1"/>
        <v>3128.9249999999997</v>
      </c>
      <c r="F21" s="23">
        <f t="shared" si="3"/>
        <v>1042.9749999999999</v>
      </c>
      <c r="G21" s="23">
        <f>919.96+123</f>
        <v>1042.96</v>
      </c>
      <c r="H21" s="12">
        <f>H20+F21-G21</f>
        <v>1766.0650000000001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45980</v>
      </c>
      <c r="C22" s="13" t="s">
        <v>8</v>
      </c>
      <c r="D22" s="23">
        <f>1192.06+655</f>
        <v>1847.06</v>
      </c>
      <c r="E22" s="23">
        <f t="shared" si="1"/>
        <v>1385.2950000000001</v>
      </c>
      <c r="F22" s="23">
        <f t="shared" si="3"/>
        <v>461.76499999999999</v>
      </c>
      <c r="G22" s="23">
        <f>298.01+163.75</f>
        <v>461.76</v>
      </c>
      <c r="H22" s="12">
        <f t="shared" si="2"/>
        <v>1766.07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v>45982</v>
      </c>
      <c r="C23" s="13" t="s">
        <v>8</v>
      </c>
      <c r="D23" s="23">
        <f>1944.52</f>
        <v>1944.52</v>
      </c>
      <c r="E23" s="23">
        <f t="shared" si="1"/>
        <v>1458.3899999999999</v>
      </c>
      <c r="F23" s="23">
        <f t="shared" si="3"/>
        <v>486.13</v>
      </c>
      <c r="G23" s="23">
        <v>486.12</v>
      </c>
      <c r="H23" s="12">
        <f t="shared" si="2"/>
        <v>1766.08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45985</v>
      </c>
      <c r="C24" s="13" t="s">
        <v>8</v>
      </c>
      <c r="D24" s="23">
        <v>1441.6</v>
      </c>
      <c r="E24" s="23">
        <f t="shared" si="1"/>
        <v>1081.1999999999998</v>
      </c>
      <c r="F24" s="23">
        <f t="shared" si="3"/>
        <v>360.4</v>
      </c>
      <c r="G24" s="23">
        <v>360.39</v>
      </c>
      <c r="H24" s="12">
        <f>H23+F24-G24</f>
        <v>1766.0900000000001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45986</v>
      </c>
      <c r="C25" s="13" t="s">
        <v>8</v>
      </c>
      <c r="D25" s="23">
        <f>771.98+652</f>
        <v>1423.98</v>
      </c>
      <c r="E25" s="23">
        <f t="shared" si="1"/>
        <v>1067.9850000000001</v>
      </c>
      <c r="F25" s="23">
        <f t="shared" si="3"/>
        <v>355.995</v>
      </c>
      <c r="G25" s="23">
        <f>192.99+163</f>
        <v>355.99</v>
      </c>
      <c r="H25" s="12">
        <f>H24+F25-G25</f>
        <v>1766.095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45987</v>
      </c>
      <c r="C26" s="13" t="s">
        <v>8</v>
      </c>
      <c r="D26" s="23">
        <f>892.94+1267</f>
        <v>2159.94</v>
      </c>
      <c r="E26" s="23">
        <f t="shared" si="1"/>
        <v>1619.9549999999999</v>
      </c>
      <c r="F26" s="23">
        <f t="shared" si="3"/>
        <v>539.98500000000001</v>
      </c>
      <c r="G26" s="23">
        <f>223.23+316.75</f>
        <v>539.98</v>
      </c>
      <c r="H26" s="12">
        <f t="shared" si="2"/>
        <v>1766.1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45988</v>
      </c>
      <c r="C27" s="13" t="s">
        <v>8</v>
      </c>
      <c r="D27" s="23">
        <f>1859.17+326</f>
        <v>2185.17</v>
      </c>
      <c r="E27" s="23">
        <f>D27-F27</f>
        <v>1638.8775000000001</v>
      </c>
      <c r="F27" s="23">
        <f t="shared" si="3"/>
        <v>546.29250000000002</v>
      </c>
      <c r="G27" s="23">
        <f>464.77+81.5</f>
        <v>546.27</v>
      </c>
      <c r="H27" s="12">
        <f t="shared" si="2"/>
        <v>1766.1224999999999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45989</v>
      </c>
      <c r="C28" s="13" t="s">
        <v>8</v>
      </c>
      <c r="D28" s="23">
        <f>2169.26+163</f>
        <v>2332.2600000000002</v>
      </c>
      <c r="E28" s="23">
        <f t="shared" si="1"/>
        <v>1749.1950000000002</v>
      </c>
      <c r="F28" s="23">
        <f t="shared" si="3"/>
        <v>583.06500000000005</v>
      </c>
      <c r="G28" s="23">
        <f>542.29+40.75</f>
        <v>583.04</v>
      </c>
      <c r="H28" s="12">
        <f t="shared" si="2"/>
        <v>1766.1475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53002.707500000004</v>
      </c>
    </row>
    <row r="29" spans="1:26 16384:16384" x14ac:dyDescent="0.25">
      <c r="A29" s="32" t="s">
        <v>12</v>
      </c>
      <c r="B29" s="22">
        <v>45989</v>
      </c>
      <c r="C29" s="13" t="s">
        <v>8</v>
      </c>
      <c r="D29" s="38">
        <v>13599.15</v>
      </c>
      <c r="E29" s="23">
        <f t="shared" si="1"/>
        <v>10199.362499999999</v>
      </c>
      <c r="F29" s="23">
        <f t="shared" si="3"/>
        <v>3399.7874999999999</v>
      </c>
      <c r="G29" s="23">
        <v>0</v>
      </c>
      <c r="H29" s="12">
        <f t="shared" si="2"/>
        <v>5165.9349999999995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thickBot="1" x14ac:dyDescent="0.3">
      <c r="A30" s="2"/>
      <c r="B30" s="18" t="s">
        <v>9</v>
      </c>
      <c r="C30" s="19"/>
      <c r="D30" s="20">
        <f>SUM(D10:D29)</f>
        <v>84071.25999999998</v>
      </c>
      <c r="E30" s="20">
        <f>SUM(E10:E29)</f>
        <v>63053.444999999992</v>
      </c>
      <c r="F30" s="20">
        <f>SUM(F10:F29)</f>
        <v>21017.814999999995</v>
      </c>
      <c r="G30" s="20">
        <f>SUM(G10:G29)</f>
        <v>17617.600000000002</v>
      </c>
      <c r="H30" s="12">
        <f>H29</f>
        <v>5165.9349999999995</v>
      </c>
      <c r="I30" s="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 16384:16384" ht="15.75" customHeight="1" x14ac:dyDescent="0.25">
      <c r="A31" s="29"/>
      <c r="B31" s="75" t="s">
        <v>10</v>
      </c>
      <c r="C31" s="76"/>
      <c r="D31" s="76"/>
      <c r="E31" s="76"/>
      <c r="F31" s="76"/>
      <c r="G31" s="76"/>
      <c r="H31" s="77"/>
      <c r="I31" s="30"/>
      <c r="J31" s="2"/>
      <c r="K31" s="16">
        <f>H30-H9</f>
        <v>3400.2149999999992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 16384:16384" ht="15.75" customHeight="1" x14ac:dyDescent="0.25">
      <c r="A32" s="29"/>
      <c r="B32" s="78" t="s">
        <v>148</v>
      </c>
      <c r="C32" s="67"/>
      <c r="D32" s="67"/>
      <c r="E32" s="67"/>
      <c r="F32" s="67"/>
      <c r="G32" s="67"/>
      <c r="H32" s="79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31"/>
      <c r="B33" s="78"/>
      <c r="C33" s="73"/>
      <c r="D33" s="73"/>
      <c r="E33" s="73"/>
      <c r="F33" s="73"/>
      <c r="G33" s="73"/>
      <c r="H33" s="80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31"/>
      <c r="B34" s="81" t="s">
        <v>147</v>
      </c>
      <c r="C34" s="71"/>
      <c r="D34" s="71"/>
      <c r="E34" s="71"/>
      <c r="F34" s="71"/>
      <c r="G34" s="71"/>
      <c r="H34" s="82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81"/>
      <c r="C35" s="71"/>
      <c r="D35" s="71"/>
      <c r="E35" s="71"/>
      <c r="F35" s="71"/>
      <c r="G35" s="71"/>
      <c r="H35" s="82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46"/>
      <c r="C36" s="47"/>
      <c r="D36" s="47"/>
      <c r="E36" s="47"/>
      <c r="F36" s="47"/>
      <c r="G36" s="47"/>
      <c r="H36" s="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6">
    <mergeCell ref="B7:H7"/>
    <mergeCell ref="B9:G9"/>
    <mergeCell ref="B31:H31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25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26</v>
      </c>
      <c r="C9" s="59"/>
      <c r="D9" s="59"/>
      <c r="E9" s="59"/>
      <c r="F9" s="59"/>
      <c r="G9" s="59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0" t="s">
        <v>10</v>
      </c>
      <c r="C38" s="61"/>
      <c r="D38" s="61"/>
      <c r="E38" s="61"/>
      <c r="F38" s="61"/>
      <c r="G38" s="61"/>
      <c r="H38" s="6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9" t="s">
        <v>29</v>
      </c>
      <c r="C39" s="50"/>
      <c r="D39" s="50"/>
      <c r="E39" s="50"/>
      <c r="F39" s="50"/>
      <c r="G39" s="50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3" t="s">
        <v>30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3"/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2"/>
      <c r="C43" s="53"/>
      <c r="D43" s="53"/>
      <c r="E43" s="53"/>
      <c r="F43" s="53"/>
      <c r="G43" s="53"/>
      <c r="H43" s="54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44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32</v>
      </c>
      <c r="C9" s="59"/>
      <c r="D9" s="59"/>
      <c r="E9" s="59"/>
      <c r="F9" s="59"/>
      <c r="G9" s="59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9" t="s">
        <v>35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3" t="s">
        <v>38</v>
      </c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63" t="s">
        <v>36</v>
      </c>
      <c r="C43" s="50"/>
      <c r="D43" s="50"/>
      <c r="E43" s="50"/>
      <c r="F43" s="50"/>
      <c r="G43" s="50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63" t="s">
        <v>39</v>
      </c>
      <c r="C44" s="64"/>
      <c r="D44" s="64"/>
      <c r="E44" s="64"/>
      <c r="F44" s="64"/>
      <c r="G44" s="64"/>
      <c r="H44" s="65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55" t="s">
        <v>45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58" t="s">
        <v>49</v>
      </c>
      <c r="C9" s="59"/>
      <c r="D9" s="59"/>
      <c r="E9" s="59"/>
      <c r="F9" s="59"/>
      <c r="G9" s="59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9" t="s">
        <v>41</v>
      </c>
      <c r="C41" s="67"/>
      <c r="D41" s="67"/>
      <c r="E41" s="67"/>
      <c r="F41" s="67"/>
      <c r="G41" s="67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63" t="s">
        <v>40</v>
      </c>
      <c r="C42" s="67"/>
      <c r="D42" s="67"/>
      <c r="E42" s="67"/>
      <c r="F42" s="67"/>
      <c r="G42" s="67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63" t="s">
        <v>43</v>
      </c>
      <c r="C43" s="67"/>
      <c r="D43" s="67"/>
      <c r="E43" s="67"/>
      <c r="F43" s="67"/>
      <c r="G43" s="67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63" t="s">
        <v>42</v>
      </c>
      <c r="C44" s="66"/>
      <c r="D44" s="66"/>
      <c r="E44" s="66"/>
      <c r="F44" s="66"/>
      <c r="G44" s="66"/>
      <c r="H44" s="65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57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47</v>
      </c>
      <c r="C9" s="59"/>
      <c r="D9" s="59"/>
      <c r="E9" s="59"/>
      <c r="F9" s="59"/>
      <c r="G9" s="59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9" t="s">
        <v>51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3" t="s">
        <v>50</v>
      </c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63"/>
      <c r="C43" s="50"/>
      <c r="D43" s="50"/>
      <c r="E43" s="50"/>
      <c r="F43" s="50"/>
      <c r="G43" s="50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63"/>
      <c r="C44" s="64"/>
      <c r="D44" s="64"/>
      <c r="E44" s="64"/>
      <c r="F44" s="64"/>
      <c r="G44" s="64"/>
      <c r="H44" s="65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58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53</v>
      </c>
      <c r="C9" s="59"/>
      <c r="D9" s="59"/>
      <c r="E9" s="59"/>
      <c r="F9" s="59"/>
      <c r="G9" s="59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54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55</v>
      </c>
      <c r="C39" s="67"/>
      <c r="D39" s="67"/>
      <c r="E39" s="67"/>
      <c r="F39" s="67"/>
      <c r="G39" s="67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56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59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61</v>
      </c>
      <c r="C9" s="59"/>
      <c r="D9" s="59"/>
      <c r="E9" s="59"/>
      <c r="F9" s="59"/>
      <c r="G9" s="59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62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63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64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70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66</v>
      </c>
      <c r="C9" s="59"/>
      <c r="D9" s="59"/>
      <c r="E9" s="59"/>
      <c r="F9" s="59"/>
      <c r="G9" s="59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67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68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69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22</vt:i4>
      </vt:variant>
    </vt:vector>
  </HeadingPairs>
  <TitlesOfParts>
    <vt:vector size="45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10-2025</vt:lpstr>
      <vt:lpstr>11-2025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'10-2025'!Area_de_impressao</vt:lpstr>
      <vt:lpstr>'11-2024'!Area_de_impressao</vt:lpstr>
      <vt:lpstr>'11-2025'!Area_de_impressao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2025-11-26T12:59:00Z</cp:lastPrinted>
  <dcterms:created xsi:type="dcterms:W3CDTF">2012-01-17T12:10:04Z</dcterms:created>
  <dcterms:modified xsi:type="dcterms:W3CDTF">2025-12-10T20:42:19Z</dcterms:modified>
</cp:coreProperties>
</file>