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6\01.26\"/>
    </mc:Choice>
  </mc:AlternateContent>
  <xr:revisionPtr revIDLastSave="0" documentId="13_ncr:1_{07635626-7DE7-4DAD-ACD3-E45F95CAA33B}" xr6:coauthVersionLast="47" xr6:coauthVersionMax="47" xr10:uidLastSave="{00000000-0000-0000-0000-000000000000}"/>
  <bookViews>
    <workbookView xWindow="7380" yWindow="3690" windowWidth="19155" windowHeight="11685" tabRatio="918" firstSheet="12" activeTab="24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  <sheet name="12-2025" sheetId="36" r:id="rId24"/>
    <sheet name="01-2026" sheetId="39" r:id="rId25"/>
  </sheets>
  <definedNames>
    <definedName name="_xlnm.Print_Area" localSheetId="0">'01-2024'!$A$1:$I$46</definedName>
    <definedName name="_xlnm.Print_Area" localSheetId="12">'01-2025'!$A$1:$H$36</definedName>
    <definedName name="_xlnm.Print_Area" localSheetId="24">'01-2026'!$A$1:$H$40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  <definedName name="_xlnm.Print_Area" localSheetId="23">'12-2025'!$A$1:$H$40</definedName>
  </definedNames>
  <calcPr calcId="19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J33" i="39" l="1"/>
  <c r="H18" i="39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H17" i="39"/>
  <c r="G31" i="39"/>
  <c r="D31" i="39"/>
  <c r="F31" i="39" s="1"/>
  <c r="G30" i="39"/>
  <c r="D30" i="39"/>
  <c r="F30" i="39" s="1"/>
  <c r="G29" i="39"/>
  <c r="D29" i="39"/>
  <c r="G28" i="39"/>
  <c r="D28" i="39"/>
  <c r="G27" i="39"/>
  <c r="D27" i="39"/>
  <c r="F27" i="39" s="1"/>
  <c r="G26" i="39"/>
  <c r="D26" i="39"/>
  <c r="F26" i="39" s="1"/>
  <c r="G25" i="39"/>
  <c r="D25" i="39"/>
  <c r="G24" i="39"/>
  <c r="D24" i="39"/>
  <c r="G23" i="39"/>
  <c r="D23" i="39"/>
  <c r="G22" i="39"/>
  <c r="D22" i="39"/>
  <c r="G21" i="39"/>
  <c r="D21" i="39"/>
  <c r="G20" i="39"/>
  <c r="D20" i="39"/>
  <c r="F20" i="39" s="1"/>
  <c r="G19" i="39"/>
  <c r="D19" i="39"/>
  <c r="G18" i="39"/>
  <c r="D18" i="39"/>
  <c r="F18" i="39" s="1"/>
  <c r="G16" i="39"/>
  <c r="D16" i="39"/>
  <c r="F16" i="39" s="1"/>
  <c r="G15" i="39"/>
  <c r="D15" i="39"/>
  <c r="G14" i="39"/>
  <c r="D14" i="39"/>
  <c r="G13" i="39"/>
  <c r="D13" i="39"/>
  <c r="G12" i="39"/>
  <c r="D12" i="39"/>
  <c r="F12" i="39" s="1"/>
  <c r="G11" i="39"/>
  <c r="D11" i="39"/>
  <c r="F11" i="39" s="1"/>
  <c r="F33" i="39"/>
  <c r="E33" i="39" s="1"/>
  <c r="G32" i="39"/>
  <c r="D32" i="39"/>
  <c r="F32" i="39" s="1"/>
  <c r="E32" i="39" s="1"/>
  <c r="F29" i="39"/>
  <c r="F28" i="39"/>
  <c r="F25" i="39"/>
  <c r="F24" i="39"/>
  <c r="F21" i="39"/>
  <c r="F19" i="39"/>
  <c r="F15" i="39"/>
  <c r="F13" i="39"/>
  <c r="B11" i="39"/>
  <c r="B12" i="39" s="1"/>
  <c r="B13" i="39" s="1"/>
  <c r="B14" i="39" s="1"/>
  <c r="B15" i="39" s="1"/>
  <c r="B16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F10" i="39"/>
  <c r="H10" i="39" s="1"/>
  <c r="F33" i="36"/>
  <c r="E33" i="36" s="1"/>
  <c r="H33" i="39" l="1"/>
  <c r="E12" i="39"/>
  <c r="E15" i="39"/>
  <c r="F22" i="39"/>
  <c r="E22" i="39" s="1"/>
  <c r="E24" i="39"/>
  <c r="E30" i="39"/>
  <c r="E20" i="39"/>
  <c r="E28" i="39"/>
  <c r="G34" i="39"/>
  <c r="E13" i="39"/>
  <c r="D34" i="39"/>
  <c r="E10" i="39"/>
  <c r="E18" i="39"/>
  <c r="E26" i="39"/>
  <c r="B30" i="39"/>
  <c r="B31" i="39" s="1"/>
  <c r="B32" i="39" s="1"/>
  <c r="H11" i="39"/>
  <c r="H12" i="39" s="1"/>
  <c r="E19" i="39"/>
  <c r="F14" i="39"/>
  <c r="E14" i="39" s="1"/>
  <c r="F23" i="39"/>
  <c r="E23" i="39" s="1"/>
  <c r="E16" i="39"/>
  <c r="E21" i="39"/>
  <c r="E25" i="39"/>
  <c r="E27" i="39"/>
  <c r="E29" i="39"/>
  <c r="E11" i="39"/>
  <c r="E31" i="39"/>
  <c r="G32" i="36"/>
  <c r="D32" i="36"/>
  <c r="F32" i="36" s="1"/>
  <c r="E32" i="36" s="1"/>
  <c r="F31" i="36"/>
  <c r="E31" i="36" s="1"/>
  <c r="G31" i="36"/>
  <c r="D31" i="36"/>
  <c r="G30" i="36"/>
  <c r="D30" i="36"/>
  <c r="F30" i="36" s="1"/>
  <c r="E30" i="36" s="1"/>
  <c r="G29" i="36"/>
  <c r="D29" i="36"/>
  <c r="G28" i="36"/>
  <c r="D28" i="36"/>
  <c r="G27" i="36"/>
  <c r="D27" i="36"/>
  <c r="G26" i="36"/>
  <c r="D26" i="36"/>
  <c r="F26" i="36" s="1"/>
  <c r="E26" i="36" s="1"/>
  <c r="G25" i="36"/>
  <c r="D25" i="36"/>
  <c r="F25" i="36" s="1"/>
  <c r="E25" i="36" s="1"/>
  <c r="G24" i="36"/>
  <c r="D24" i="36"/>
  <c r="F24" i="36" s="1"/>
  <c r="G23" i="36"/>
  <c r="D23" i="36"/>
  <c r="G22" i="36"/>
  <c r="D22" i="36"/>
  <c r="F22" i="36" s="1"/>
  <c r="G21" i="36"/>
  <c r="D21" i="36"/>
  <c r="G20" i="36"/>
  <c r="D20" i="36"/>
  <c r="F20" i="36" s="1"/>
  <c r="G19" i="36"/>
  <c r="D19" i="36"/>
  <c r="G18" i="36"/>
  <c r="D18" i="36"/>
  <c r="G17" i="36"/>
  <c r="D17" i="36"/>
  <c r="G16" i="36"/>
  <c r="D16" i="36"/>
  <c r="F16" i="36" s="1"/>
  <c r="E16" i="36" s="1"/>
  <c r="G15" i="36"/>
  <c r="D15" i="36"/>
  <c r="G14" i="36"/>
  <c r="D14" i="36"/>
  <c r="F14" i="36" s="1"/>
  <c r="G12" i="36"/>
  <c r="D12" i="36"/>
  <c r="G11" i="36"/>
  <c r="D11" i="36"/>
  <c r="F11" i="36" s="1"/>
  <c r="G10" i="36"/>
  <c r="D10" i="36"/>
  <c r="F29" i="36"/>
  <c r="E29" i="36" s="1"/>
  <c r="F27" i="36"/>
  <c r="F23" i="36"/>
  <c r="E23" i="36" s="1"/>
  <c r="F21" i="36"/>
  <c r="E21" i="36" s="1"/>
  <c r="F19" i="36"/>
  <c r="E19" i="36" s="1"/>
  <c r="F18" i="36"/>
  <c r="F17" i="36"/>
  <c r="E17" i="36" s="1"/>
  <c r="F15" i="36"/>
  <c r="E15" i="36" s="1"/>
  <c r="F12" i="36"/>
  <c r="E12" i="36" s="1"/>
  <c r="B11" i="36"/>
  <c r="B12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F10" i="36"/>
  <c r="H13" i="39" l="1"/>
  <c r="H14" i="39" s="1"/>
  <c r="H15" i="39" s="1"/>
  <c r="H16" i="39" s="1"/>
  <c r="E34" i="39"/>
  <c r="F34" i="39"/>
  <c r="B30" i="36"/>
  <c r="B31" i="36" s="1"/>
  <c r="B32" i="36" s="1"/>
  <c r="E11" i="36"/>
  <c r="E20" i="36"/>
  <c r="E14" i="36"/>
  <c r="E18" i="36"/>
  <c r="E22" i="36"/>
  <c r="F28" i="36"/>
  <c r="E28" i="36" s="1"/>
  <c r="G34" i="36"/>
  <c r="E24" i="36"/>
  <c r="H10" i="36"/>
  <c r="H11" i="36" s="1"/>
  <c r="H12" i="36" s="1"/>
  <c r="H13" i="36" s="1"/>
  <c r="H14" i="36" s="1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E10" i="36"/>
  <c r="E27" i="36"/>
  <c r="D34" i="36"/>
  <c r="G28" i="35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F17" i="35" s="1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H34" i="39" l="1"/>
  <c r="XFD29" i="39"/>
  <c r="F34" i="36"/>
  <c r="E34" i="36"/>
  <c r="G30" i="35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H34" i="36" l="1"/>
  <c r="XFD29" i="36"/>
  <c r="F30" i="35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K31" i="35" s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F29" i="32" s="1"/>
  <c r="G28" i="32"/>
  <c r="D28" i="32"/>
  <c r="G27" i="32"/>
  <c r="D27" i="32"/>
  <c r="F27" i="32" s="1"/>
  <c r="G26" i="32"/>
  <c r="D26" i="32"/>
  <c r="G25" i="32"/>
  <c r="D25" i="32"/>
  <c r="F25" i="32" s="1"/>
  <c r="G24" i="32"/>
  <c r="D24" i="32"/>
  <c r="E24" i="32" s="1"/>
  <c r="G23" i="32"/>
  <c r="D23" i="32"/>
  <c r="G22" i="32"/>
  <c r="D22" i="32"/>
  <c r="F22" i="32" s="1"/>
  <c r="G21" i="32"/>
  <c r="D21" i="32"/>
  <c r="G20" i="32"/>
  <c r="D20" i="32"/>
  <c r="F20" i="32" s="1"/>
  <c r="E20" i="32" s="1"/>
  <c r="G19" i="32"/>
  <c r="D19" i="32"/>
  <c r="G18" i="32"/>
  <c r="D18" i="32"/>
  <c r="F18" i="32" s="1"/>
  <c r="E18" i="32" s="1"/>
  <c r="G17" i="32"/>
  <c r="D17" i="32"/>
  <c r="F17" i="32" s="1"/>
  <c r="G16" i="32"/>
  <c r="D16" i="32"/>
  <c r="F16" i="32" s="1"/>
  <c r="E16" i="32" s="1"/>
  <c r="G15" i="32"/>
  <c r="D15" i="32"/>
  <c r="G14" i="32"/>
  <c r="D14" i="32"/>
  <c r="F14" i="32" s="1"/>
  <c r="E14" i="32" s="1"/>
  <c r="G13" i="32"/>
  <c r="D13" i="32"/>
  <c r="G12" i="32"/>
  <c r="D12" i="32"/>
  <c r="F12" i="32" s="1"/>
  <c r="E12" i="32" s="1"/>
  <c r="G11" i="32"/>
  <c r="D11" i="32"/>
  <c r="G10" i="32"/>
  <c r="D10" i="32"/>
  <c r="F33" i="32"/>
  <c r="E33" i="32" s="1"/>
  <c r="F32" i="32"/>
  <c r="E32" i="32" s="1"/>
  <c r="F31" i="32"/>
  <c r="F30" i="32"/>
  <c r="F28" i="32"/>
  <c r="E28" i="32" s="1"/>
  <c r="F26" i="32"/>
  <c r="E26" i="32" s="1"/>
  <c r="F24" i="32"/>
  <c r="F23" i="32"/>
  <c r="F21" i="32"/>
  <c r="F19" i="32"/>
  <c r="F15" i="32"/>
  <c r="F13" i="32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F15" i="30" s="1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F11" i="29" s="1"/>
  <c r="G10" i="29"/>
  <c r="D10" i="29"/>
  <c r="F23" i="29"/>
  <c r="E23" i="29" s="1"/>
  <c r="F19" i="29"/>
  <c r="E19" i="29" s="1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E17" i="27" s="1"/>
  <c r="F18" i="27"/>
  <c r="E18" i="27" s="1"/>
  <c r="F19" i="27"/>
  <c r="E19" i="27" s="1"/>
  <c r="F20" i="27"/>
  <c r="E20" i="27" s="1"/>
  <c r="F21" i="27"/>
  <c r="E21" i="27" s="1"/>
  <c r="F22" i="27"/>
  <c r="E22" i="27" s="1"/>
  <c r="F23" i="27"/>
  <c r="E23" i="27" s="1"/>
  <c r="F24" i="27"/>
  <c r="E24" i="27" s="1"/>
  <c r="F25" i="27"/>
  <c r="F26" i="27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6" i="27"/>
  <c r="E2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D34" i="32" l="1"/>
  <c r="H29" i="34"/>
  <c r="H30" i="34" s="1"/>
  <c r="H31" i="34" s="1"/>
  <c r="H32" i="34" s="1"/>
  <c r="H33" i="34" s="1"/>
  <c r="H34" i="34" s="1"/>
  <c r="H35" i="34" s="1"/>
  <c r="E10" i="32"/>
  <c r="G34" i="32"/>
  <c r="E22" i="32"/>
  <c r="E30" i="32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<sst xmlns="http://schemas.openxmlformats.org/spreadsheetml/2006/main" count="1048" uniqueCount="161">
  <si>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</si>
  <si>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</si>
  <si>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</si>
  <si>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</si>
  <si>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</si>
  <si>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</si>
  <si>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</si>
  <si>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</si>
  <si>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</si>
  <si>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</si>
  <si>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</si>
  <si>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</si>
  <si>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</si>
  <si>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</si>
  <si>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</si>
  <si>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</si>
  <si>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</si>
  <si>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</si>
  <si>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</si>
  <si>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</si>
  <si>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</si>
  <si>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</si>
  <si>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</si>
  <si>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</si>
  <si>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</si>
  <si>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</si>
  <si>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</si>
  <si>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</si>
  <si>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</si>
  <si>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</si>
  <si>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</si>
  <si>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</si>
  <si>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</si>
  <si>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</si>
  <si>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</si>
  <si>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</si>
  <si>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</si>
  <si>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</si>
  <si>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</si>
  <si>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</si>
  <si>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</si>
  <si>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</si>
  <si>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</si>
  <si>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</si>
  <si>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</si>
  <si>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</si>
  <si>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</si>
  <si>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</si>
  <si>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</si>
  <si>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</si>
  <si>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</si>
  <si>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</si>
  <si>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</si>
  <si>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</si>
  <si>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</si>
  <si>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</si>
  <si>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</si>
  <si>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</si>
  <si>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</si>
  <si>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</si>
  <si>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</si>
  <si>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</si>
  <si>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</si>
  <si>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</si>
  <si>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</si>
  <si>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</si>
  <si>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</si>
  <si>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</si>
  <si>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</si>
  <si>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</si>
  <si>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</si>
  <si>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</si>
  <si>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</si>
  <si>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</si>
  <si>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</si>
  <si>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</si>
  <si>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</si>
  <si>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</si>
  <si>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</si>
  <si>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</si>
  <si>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</si>
  <si>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</si>
  <si>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</si>
  <si>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</si>
  <si>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</si>
  <si>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</si>
  <si>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</si>
  <si>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</si>
  <si>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</si>
  <si>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</si>
  <si>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</si>
  <si>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</si>
  <si>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</si>
  <si>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</si>
  <si>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</si>
  <si>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</si>
  <si>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</si>
  <si>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</si>
  <si>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</si>
  <si>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</si>
  <si>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</si>
  <si>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</si>
  <si>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</si>
  <si>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</si>
  <si>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</si>
  <si>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</si>
  <si>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</si>
  <si>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</si>
  <si>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</si>
  <si>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</si>
  <si>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</si>
  <si>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</si>
  <si>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</si>
  <si>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</si>
  <si>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</si>
  <si>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</si>
  <si>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</si>
  <si>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</si>
  <si>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</si>
  <si>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</si>
  <si>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</si>
  <si>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</si>
  <si>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</si>
  <si>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</si>
  <si>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</si>
  <si>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</si>
  <si>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</si>
  <si>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</si>
  <si>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</si>
  <si>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</si>
  <si>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</si>
  <si>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</si>
  <si>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</si>
  <si>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</si>
  <si>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</si>
  <si>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</si>
  <si>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</si>
  <si>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</si>
  <si>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</si>
  <si>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</si>
  <si>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</si>
  <si>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</si>
  <si>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</si>
  <si>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</si>
  <si>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</si>
  <si>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</si>
  <si>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</si>
  <si>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</si>
  <si>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</si>
  <si>
    <t>Período: 01/12/2025 a 31/12/2025</t>
  </si>
  <si>
    <t>SALDO NOVEMBRO/2025</t>
  </si>
  <si>
    <t>*Valor referente a cota parte apurada através de receita de anuidades em dívida ativa, recebido via depósito judicial e identificado no mês de Dezembro/2025.</t>
  </si>
  <si>
    <t>* Valor Repasssado ao CFMV referente a Cota-Parte em aberto apurado em Outubro de 2025.</t>
  </si>
  <si>
    <r>
      <t xml:space="preserve">R$ 49.222,87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R$ 50.987,77</t>
    </r>
  </si>
  <si>
    <t>SALDO DEZEMBRO/2025:</t>
  </si>
  <si>
    <t>COTA-PARTE REFERENTE AO MÊS DE JANEIRO DE 2026</t>
  </si>
  <si>
    <t>Período: 01/01/2026 a 31/01/2026</t>
  </si>
  <si>
    <t>BB 74052-5</t>
  </si>
  <si>
    <r>
      <t xml:space="preserve">R$ 204.493,56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R$ 207.893,25</t>
    </r>
  </si>
  <si>
    <t>* Valor Repasssado ao CFMV referente a Cota-Parte em aberto apurado em Novembro de 2025.</t>
  </si>
  <si>
    <t>*Valor referente a cota parte apurada através de receita de anuidades em dívida ativa, recebido via depósito judicial e identificado no mês de Janeiro/2026.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</si>
</sst>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5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  <xf numFmtId="14" fontId="14" fillId="0" borderId="12" xfId="0" applyNumberFormat="1" applyFont="1" applyBorder="1" applyAlignment="1"/>
    <xf numFmtId="164" fontId="14" fillId="0" borderId="10" xfId="0" applyNumberFormat="1" applyFont="1" applyBorder="1" applyAlignment="1">
      <alignment horizontal="left"/>
    </xf>
    <xf numFmtId="165" fontId="14" fillId="0" borderId="13" xfId="0" applyNumberFormat="1" applyFont="1" applyBorder="1" applyAlignment="1"/>
    <xf numFmtId="4" fontId="14" fillId="0" borderId="11" xfId="0" applyNumberFormat="1" applyFont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right"/>
    </xf>
    <xf numFmtId="0" fontId="13" fillId="2" borderId="28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28</v>
      </c>
      <c r="C9" s="63"/>
      <c r="D9" s="63"/>
      <c r="E9" s="63"/>
      <c r="F9" s="63"/>
      <c r="G9" s="63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4" t="s">
        <v>10</v>
      </c>
      <c r="C40" s="65"/>
      <c r="D40" s="65"/>
      <c r="E40" s="65"/>
      <c r="F40" s="65"/>
      <c r="G40" s="65"/>
      <c r="H40" s="6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3" t="s">
        <v>16</v>
      </c>
      <c r="C41" s="54"/>
      <c r="D41" s="54"/>
      <c r="E41" s="54"/>
      <c r="F41" s="54"/>
      <c r="G41" s="54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7"/>
      <c r="C42" s="54"/>
      <c r="D42" s="54"/>
      <c r="E42" s="54"/>
      <c r="F42" s="54"/>
      <c r="G42" s="54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7"/>
      <c r="C43" s="54"/>
      <c r="D43" s="54"/>
      <c r="E43" s="54"/>
      <c r="F43" s="54"/>
      <c r="G43" s="54"/>
      <c r="H43" s="55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53"/>
      <c r="C44" s="54"/>
      <c r="D44" s="54"/>
      <c r="E44" s="54"/>
      <c r="F44" s="54"/>
      <c r="G44" s="54"/>
      <c r="H44" s="55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56"/>
      <c r="C45" s="57"/>
      <c r="D45" s="57"/>
      <c r="E45" s="57"/>
      <c r="F45" s="57"/>
      <c r="G45" s="57"/>
      <c r="H45" s="58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71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73</v>
      </c>
      <c r="C9" s="63"/>
      <c r="D9" s="63"/>
      <c r="E9" s="63"/>
      <c r="F9" s="63"/>
      <c r="G9" s="63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4" t="s">
        <v>10</v>
      </c>
      <c r="C37" s="65"/>
      <c r="D37" s="65"/>
      <c r="E37" s="65"/>
      <c r="F37" s="65"/>
      <c r="G37" s="65"/>
      <c r="H37" s="6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3" t="s">
        <v>74</v>
      </c>
      <c r="C38" s="54"/>
      <c r="D38" s="54"/>
      <c r="E38" s="54"/>
      <c r="F38" s="54"/>
      <c r="G38" s="54"/>
      <c r="H38" s="55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7" t="s">
        <v>75</v>
      </c>
      <c r="C39" s="71"/>
      <c r="D39" s="71"/>
      <c r="E39" s="71"/>
      <c r="F39" s="71"/>
      <c r="G39" s="71"/>
      <c r="H39" s="55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7" t="s">
        <v>76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7"/>
      <c r="C41" s="68"/>
      <c r="D41" s="68"/>
      <c r="E41" s="68"/>
      <c r="F41" s="68"/>
      <c r="G41" s="68"/>
      <c r="H41" s="6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6"/>
      <c r="C42" s="57"/>
      <c r="D42" s="57"/>
      <c r="E42" s="57"/>
      <c r="F42" s="57"/>
      <c r="G42" s="57"/>
      <c r="H42" s="58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78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79</v>
      </c>
      <c r="C9" s="63"/>
      <c r="D9" s="63"/>
      <c r="E9" s="63"/>
      <c r="F9" s="63"/>
      <c r="G9" s="63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2" t="s">
        <v>10</v>
      </c>
      <c r="C37" s="73"/>
      <c r="D37" s="73"/>
      <c r="E37" s="73"/>
      <c r="F37" s="73"/>
      <c r="G37" s="73"/>
      <c r="H37" s="7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3" t="s">
        <v>80</v>
      </c>
      <c r="C38" s="54"/>
      <c r="D38" s="54"/>
      <c r="E38" s="54"/>
      <c r="F38" s="54"/>
      <c r="G38" s="54"/>
      <c r="H38" s="55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7" t="s">
        <v>81</v>
      </c>
      <c r="C39" s="71"/>
      <c r="D39" s="71"/>
      <c r="E39" s="71"/>
      <c r="F39" s="71"/>
      <c r="G39" s="71"/>
      <c r="H39" s="55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7" t="s">
        <v>82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7"/>
      <c r="C41" s="68"/>
      <c r="D41" s="68"/>
      <c r="E41" s="68"/>
      <c r="F41" s="68"/>
      <c r="G41" s="68"/>
      <c r="H41" s="6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6"/>
      <c r="C42" s="57"/>
      <c r="D42" s="57"/>
      <c r="E42" s="57"/>
      <c r="F42" s="57"/>
      <c r="G42" s="57"/>
      <c r="H42" s="58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zoomScale="110" zoomScaleNormal="110" workbookViewId="0">
      <selection activeCell="M18" sqref="M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88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84</v>
      </c>
      <c r="C9" s="63"/>
      <c r="D9" s="63"/>
      <c r="E9" s="63"/>
      <c r="F9" s="63"/>
      <c r="G9" s="63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72" t="s">
        <v>10</v>
      </c>
      <c r="C36" s="73"/>
      <c r="D36" s="73"/>
      <c r="E36" s="73"/>
      <c r="F36" s="73"/>
      <c r="G36" s="73"/>
      <c r="H36" s="74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3" t="s">
        <v>85</v>
      </c>
      <c r="C37" s="54"/>
      <c r="D37" s="54"/>
      <c r="E37" s="54"/>
      <c r="F37" s="54"/>
      <c r="G37" s="54"/>
      <c r="H37" s="55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7" t="s">
        <v>86</v>
      </c>
      <c r="C38" s="71"/>
      <c r="D38" s="71"/>
      <c r="E38" s="71"/>
      <c r="F38" s="71"/>
      <c r="G38" s="71"/>
      <c r="H38" s="55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7" t="s">
        <v>87</v>
      </c>
      <c r="C39" s="54"/>
      <c r="D39" s="54"/>
      <c r="E39" s="54"/>
      <c r="F39" s="54"/>
      <c r="G39" s="54"/>
      <c r="H39" s="55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7"/>
      <c r="C40" s="68"/>
      <c r="D40" s="68"/>
      <c r="E40" s="68"/>
      <c r="F40" s="68"/>
      <c r="G40" s="68"/>
      <c r="H40" s="6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56"/>
      <c r="C41" s="57"/>
      <c r="D41" s="57"/>
      <c r="E41" s="57"/>
      <c r="F41" s="57"/>
      <c r="G41" s="57"/>
      <c r="H41" s="58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90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28</v>
      </c>
      <c r="C9" s="63"/>
      <c r="D9" s="63"/>
      <c r="E9" s="63"/>
      <c r="F9" s="63"/>
      <c r="G9" s="63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2" t="s">
        <v>10</v>
      </c>
      <c r="C33" s="73"/>
      <c r="D33" s="73"/>
      <c r="E33" s="73"/>
      <c r="F33" s="73"/>
      <c r="G33" s="73"/>
      <c r="H33" s="74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3" t="s">
        <v>91</v>
      </c>
      <c r="C34" s="54"/>
      <c r="D34" s="54"/>
      <c r="E34" s="54"/>
      <c r="F34" s="54"/>
      <c r="G34" s="54"/>
      <c r="H34" s="55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56"/>
      <c r="C35" s="57"/>
      <c r="D35" s="57"/>
      <c r="E35" s="57"/>
      <c r="F35" s="57"/>
      <c r="G35" s="57"/>
      <c r="H35" s="58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97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93</v>
      </c>
      <c r="C9" s="63"/>
      <c r="D9" s="63"/>
      <c r="E9" s="63"/>
      <c r="F9" s="63"/>
      <c r="G9" s="63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2" t="s">
        <v>10</v>
      </c>
      <c r="C33" s="73"/>
      <c r="D33" s="73"/>
      <c r="E33" s="73"/>
      <c r="F33" s="73"/>
      <c r="G33" s="73"/>
      <c r="H33" s="74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3" t="s">
        <v>94</v>
      </c>
      <c r="C34" s="54"/>
      <c r="D34" s="54"/>
      <c r="E34" s="54"/>
      <c r="F34" s="54"/>
      <c r="G34" s="54"/>
      <c r="H34" s="55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7" t="s">
        <v>95</v>
      </c>
      <c r="C35" s="68"/>
      <c r="D35" s="68"/>
      <c r="E35" s="68"/>
      <c r="F35" s="68"/>
      <c r="G35" s="68"/>
      <c r="H35" s="69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7" t="s">
        <v>96</v>
      </c>
      <c r="C36" s="54"/>
      <c r="D36" s="54"/>
      <c r="E36" s="54"/>
      <c r="F36" s="54"/>
      <c r="G36" s="54"/>
      <c r="H36" s="55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56"/>
      <c r="C37" s="57"/>
      <c r="D37" s="57"/>
      <c r="E37" s="57"/>
      <c r="F37" s="57"/>
      <c r="G37" s="57"/>
      <c r="H37" s="58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98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100</v>
      </c>
      <c r="C9" s="63"/>
      <c r="D9" s="63"/>
      <c r="E9" s="63"/>
      <c r="F9" s="63"/>
      <c r="G9" s="63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72" t="s">
        <v>10</v>
      </c>
      <c r="C32" s="73"/>
      <c r="D32" s="73"/>
      <c r="E32" s="73"/>
      <c r="F32" s="73"/>
      <c r="G32" s="73"/>
      <c r="H32" s="74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3" t="s">
        <v>102</v>
      </c>
      <c r="C33" s="54"/>
      <c r="D33" s="54"/>
      <c r="E33" s="54"/>
      <c r="F33" s="54"/>
      <c r="G33" s="54"/>
      <c r="H33" s="55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7" t="s">
        <v>101</v>
      </c>
      <c r="C34" s="75"/>
      <c r="D34" s="75"/>
      <c r="E34" s="75"/>
      <c r="F34" s="75"/>
      <c r="G34" s="75"/>
      <c r="H34" s="76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7"/>
      <c r="C35" s="75"/>
      <c r="D35" s="75"/>
      <c r="E35" s="75"/>
      <c r="F35" s="75"/>
      <c r="G35" s="75"/>
      <c r="H35" s="7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56"/>
      <c r="C36" s="57"/>
      <c r="D36" s="57"/>
      <c r="E36" s="57"/>
      <c r="F36" s="57"/>
      <c r="G36" s="57"/>
      <c r="H36" s="58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104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105</v>
      </c>
      <c r="C9" s="63"/>
      <c r="D9" s="63"/>
      <c r="E9" s="63"/>
      <c r="F9" s="63"/>
      <c r="G9" s="63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2" t="s">
        <v>10</v>
      </c>
      <c r="C33" s="73"/>
      <c r="D33" s="73"/>
      <c r="E33" s="73"/>
      <c r="F33" s="73"/>
      <c r="G33" s="73"/>
      <c r="H33" s="74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3" t="s">
        <v>106</v>
      </c>
      <c r="C34" s="54"/>
      <c r="D34" s="54"/>
      <c r="E34" s="54"/>
      <c r="F34" s="54"/>
      <c r="G34" s="54"/>
      <c r="H34" s="55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3" t="s">
        <v>107</v>
      </c>
      <c r="C35" s="77"/>
      <c r="D35" s="77"/>
      <c r="E35" s="77"/>
      <c r="F35" s="77"/>
      <c r="G35" s="77"/>
      <c r="H35" s="78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7" t="s">
        <v>108</v>
      </c>
      <c r="C36" s="75"/>
      <c r="D36" s="75"/>
      <c r="E36" s="75"/>
      <c r="F36" s="75"/>
      <c r="G36" s="75"/>
      <c r="H36" s="76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7"/>
      <c r="C37" s="75"/>
      <c r="D37" s="75"/>
      <c r="E37" s="75"/>
      <c r="F37" s="75"/>
      <c r="G37" s="75"/>
      <c r="H37" s="7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6"/>
      <c r="C38" s="57"/>
      <c r="D38" s="57"/>
      <c r="E38" s="57"/>
      <c r="F38" s="57"/>
      <c r="G38" s="57"/>
      <c r="H38" s="58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112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110</v>
      </c>
      <c r="C9" s="63"/>
      <c r="D9" s="63"/>
      <c r="E9" s="63"/>
      <c r="F9" s="63"/>
      <c r="G9" s="63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2" t="s">
        <v>10</v>
      </c>
      <c r="C33" s="73"/>
      <c r="D33" s="73"/>
      <c r="E33" s="73"/>
      <c r="F33" s="73"/>
      <c r="G33" s="73"/>
      <c r="H33" s="74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3" t="s">
        <v>113</v>
      </c>
      <c r="C34" s="54"/>
      <c r="D34" s="54"/>
      <c r="E34" s="54"/>
      <c r="F34" s="54"/>
      <c r="G34" s="54"/>
      <c r="H34" s="55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3" t="s">
        <v>111</v>
      </c>
      <c r="C35" s="77"/>
      <c r="D35" s="77"/>
      <c r="E35" s="77"/>
      <c r="F35" s="77"/>
      <c r="G35" s="77"/>
      <c r="H35" s="78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7"/>
      <c r="C36" s="75"/>
      <c r="D36" s="75"/>
      <c r="E36" s="75"/>
      <c r="F36" s="75"/>
      <c r="G36" s="75"/>
      <c r="H36" s="76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7"/>
      <c r="C37" s="75"/>
      <c r="D37" s="75"/>
      <c r="E37" s="75"/>
      <c r="F37" s="75"/>
      <c r="G37" s="75"/>
      <c r="H37" s="7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6"/>
      <c r="C38" s="57"/>
      <c r="D38" s="57"/>
      <c r="E38" s="57"/>
      <c r="F38" s="57"/>
      <c r="G38" s="57"/>
      <c r="H38" s="58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114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116</v>
      </c>
      <c r="C9" s="63"/>
      <c r="D9" s="63"/>
      <c r="E9" s="63"/>
      <c r="F9" s="63"/>
      <c r="G9" s="63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2" t="s">
        <v>10</v>
      </c>
      <c r="C33" s="73"/>
      <c r="D33" s="73"/>
      <c r="E33" s="73"/>
      <c r="F33" s="73"/>
      <c r="G33" s="73"/>
      <c r="H33" s="74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3" t="s">
        <v>119</v>
      </c>
      <c r="C34" s="54"/>
      <c r="D34" s="54"/>
      <c r="E34" s="54"/>
      <c r="F34" s="54"/>
      <c r="G34" s="54"/>
      <c r="H34" s="55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3" t="s">
        <v>117</v>
      </c>
      <c r="C35" s="77"/>
      <c r="D35" s="77"/>
      <c r="E35" s="77"/>
      <c r="F35" s="77"/>
      <c r="G35" s="77"/>
      <c r="H35" s="78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7" t="s">
        <v>118</v>
      </c>
      <c r="C36" s="75"/>
      <c r="D36" s="75"/>
      <c r="E36" s="75"/>
      <c r="F36" s="75"/>
      <c r="G36" s="75"/>
      <c r="H36" s="76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7"/>
      <c r="C37" s="75"/>
      <c r="D37" s="75"/>
      <c r="E37" s="75"/>
      <c r="F37" s="75"/>
      <c r="G37" s="75"/>
      <c r="H37" s="7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6"/>
      <c r="C38" s="57"/>
      <c r="D38" s="57"/>
      <c r="E38" s="57"/>
      <c r="F38" s="57"/>
      <c r="G38" s="57"/>
      <c r="H38" s="58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124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116</v>
      </c>
      <c r="C9" s="63"/>
      <c r="D9" s="63"/>
      <c r="E9" s="63"/>
      <c r="F9" s="63"/>
      <c r="G9" s="63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2" t="s">
        <v>10</v>
      </c>
      <c r="C35" s="73"/>
      <c r="D35" s="73"/>
      <c r="E35" s="73"/>
      <c r="F35" s="73"/>
      <c r="G35" s="73"/>
      <c r="H35" s="74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3" t="s">
        <v>122</v>
      </c>
      <c r="C36" s="54"/>
      <c r="D36" s="54"/>
      <c r="E36" s="54"/>
      <c r="F36" s="54"/>
      <c r="G36" s="54"/>
      <c r="H36" s="55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3" t="s">
        <v>120</v>
      </c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7" t="s">
        <v>121</v>
      </c>
      <c r="C38" s="75"/>
      <c r="D38" s="75"/>
      <c r="E38" s="75"/>
      <c r="F38" s="75"/>
      <c r="G38" s="75"/>
      <c r="H38" s="7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7"/>
      <c r="C39" s="75"/>
      <c r="D39" s="75"/>
      <c r="E39" s="75"/>
      <c r="F39" s="75"/>
      <c r="G39" s="75"/>
      <c r="H39" s="7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6"/>
      <c r="C40" s="57"/>
      <c r="D40" s="57"/>
      <c r="E40" s="57"/>
      <c r="F40" s="57"/>
      <c r="G40" s="57"/>
      <c r="H40" s="58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18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27</v>
      </c>
      <c r="C9" s="63"/>
      <c r="D9" s="63"/>
      <c r="E9" s="63"/>
      <c r="F9" s="63"/>
      <c r="G9" s="63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4" t="s">
        <v>10</v>
      </c>
      <c r="C38" s="65"/>
      <c r="D38" s="65"/>
      <c r="E38" s="65"/>
      <c r="F38" s="65"/>
      <c r="G38" s="65"/>
      <c r="H38" s="66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3" t="s">
        <v>21</v>
      </c>
      <c r="C39" s="54"/>
      <c r="D39" s="54"/>
      <c r="E39" s="54"/>
      <c r="F39" s="54"/>
      <c r="G39" s="54"/>
      <c r="H39" s="55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7" t="s">
        <v>22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7" t="s">
        <v>23</v>
      </c>
      <c r="C41" s="54"/>
      <c r="D41" s="54"/>
      <c r="E41" s="54"/>
      <c r="F41" s="54"/>
      <c r="G41" s="54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3"/>
      <c r="C42" s="54"/>
      <c r="D42" s="54"/>
      <c r="E42" s="54"/>
      <c r="F42" s="54"/>
      <c r="G42" s="54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6"/>
      <c r="C43" s="57"/>
      <c r="D43" s="57"/>
      <c r="E43" s="57"/>
      <c r="F43" s="57"/>
      <c r="G43" s="57"/>
      <c r="H43" s="58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9D56D-6545-4216-8E79-B771F00A331F}">
  <dimension ref="A1:Z1004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130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126</v>
      </c>
      <c r="C9" s="63"/>
      <c r="D9" s="63"/>
      <c r="E9" s="63"/>
      <c r="F9" s="63"/>
      <c r="G9" s="63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2" t="s">
        <v>10</v>
      </c>
      <c r="C35" s="73"/>
      <c r="D35" s="73"/>
      <c r="E35" s="73"/>
      <c r="F35" s="73"/>
      <c r="G35" s="73"/>
      <c r="H35" s="74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3" t="s">
        <v>127</v>
      </c>
      <c r="C36" s="54"/>
      <c r="D36" s="54"/>
      <c r="E36" s="54"/>
      <c r="F36" s="54"/>
      <c r="G36" s="54"/>
      <c r="H36" s="55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3" t="s">
        <v>141</v>
      </c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7" t="s">
        <v>129</v>
      </c>
      <c r="C38" s="75"/>
      <c r="D38" s="75"/>
      <c r="E38" s="75"/>
      <c r="F38" s="75"/>
      <c r="G38" s="75"/>
      <c r="H38" s="7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7"/>
      <c r="C39" s="75"/>
      <c r="D39" s="75"/>
      <c r="E39" s="75"/>
      <c r="F39" s="75"/>
      <c r="G39" s="75"/>
      <c r="H39" s="7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6"/>
      <c r="C40" s="57"/>
      <c r="D40" s="57"/>
      <c r="E40" s="57"/>
      <c r="F40" s="57"/>
      <c r="G40" s="57"/>
      <c r="H40" s="58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BE79-B111-4F00-B43B-93BB820E1641}">
  <dimension ref="A1:XFD1004"/>
  <sheetViews>
    <sheetView topLeftCell="A8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132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133</v>
      </c>
      <c r="C9" s="63"/>
      <c r="D9" s="63"/>
      <c r="E9" s="63"/>
      <c r="F9" s="63"/>
      <c r="G9" s="63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2" t="s">
        <v>10</v>
      </c>
      <c r="C35" s="73"/>
      <c r="D35" s="73"/>
      <c r="E35" s="73"/>
      <c r="F35" s="73"/>
      <c r="G35" s="73"/>
      <c r="H35" s="74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3" t="s">
        <v>135</v>
      </c>
      <c r="C36" s="54"/>
      <c r="D36" s="54"/>
      <c r="E36" s="54"/>
      <c r="F36" s="54"/>
      <c r="G36" s="54"/>
      <c r="H36" s="55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3" t="s">
        <v>128</v>
      </c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7" t="s">
        <v>136</v>
      </c>
      <c r="C38" s="75"/>
      <c r="D38" s="75"/>
      <c r="E38" s="75"/>
      <c r="F38" s="75"/>
      <c r="G38" s="75"/>
      <c r="H38" s="7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7"/>
      <c r="C39" s="75"/>
      <c r="D39" s="75"/>
      <c r="E39" s="75"/>
      <c r="F39" s="75"/>
      <c r="G39" s="75"/>
      <c r="H39" s="7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6"/>
      <c r="C40" s="57"/>
      <c r="D40" s="57"/>
      <c r="E40" s="57"/>
      <c r="F40" s="57"/>
      <c r="G40" s="57"/>
      <c r="H40" s="58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F101-C5FD-426A-8AEB-B2BA7445D97A}">
  <dimension ref="A1:XFD1006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137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138</v>
      </c>
      <c r="C9" s="63"/>
      <c r="D9" s="63"/>
      <c r="E9" s="63"/>
      <c r="F9" s="63"/>
      <c r="G9" s="63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>H28+F29-G29</f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>H29+F30-G30</f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4" t="s">
        <v>10</v>
      </c>
      <c r="C36" s="85"/>
      <c r="D36" s="85"/>
      <c r="E36" s="85"/>
      <c r="F36" s="85"/>
      <c r="G36" s="85"/>
      <c r="H36" s="86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7" t="s">
        <v>143</v>
      </c>
      <c r="C37" s="71"/>
      <c r="D37" s="71"/>
      <c r="E37" s="71"/>
      <c r="F37" s="71"/>
      <c r="G37" s="71"/>
      <c r="H37" s="8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87" t="s">
        <v>134</v>
      </c>
      <c r="C38" s="77"/>
      <c r="D38" s="77"/>
      <c r="E38" s="77"/>
      <c r="F38" s="77"/>
      <c r="G38" s="77"/>
      <c r="H38" s="89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9" t="s">
        <v>139</v>
      </c>
      <c r="C39" s="75"/>
      <c r="D39" s="75"/>
      <c r="E39" s="75"/>
      <c r="F39" s="75"/>
      <c r="G39" s="75"/>
      <c r="H39" s="8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79"/>
      <c r="C40" s="75"/>
      <c r="D40" s="75"/>
      <c r="E40" s="75"/>
      <c r="F40" s="75"/>
      <c r="G40" s="75"/>
      <c r="H40" s="8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1" t="s">
        <v>142</v>
      </c>
      <c r="C41" s="82"/>
      <c r="D41" s="82"/>
      <c r="E41" s="82"/>
      <c r="F41" s="82"/>
      <c r="G41" s="82"/>
      <c r="H41" s="83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1"/>
      <c r="C42" s="82"/>
      <c r="D42" s="82"/>
      <c r="E42" s="82"/>
      <c r="F42" s="82"/>
      <c r="G42" s="82"/>
      <c r="H42" s="8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5B6F-90CE-4526-A3DE-6687400BEEDD}">
  <dimension ref="A1:XFD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145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146</v>
      </c>
      <c r="C9" s="63"/>
      <c r="D9" s="63"/>
      <c r="E9" s="63"/>
      <c r="F9" s="63"/>
      <c r="G9" s="63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84" t="s">
        <v>10</v>
      </c>
      <c r="C31" s="85"/>
      <c r="D31" s="85"/>
      <c r="E31" s="85"/>
      <c r="F31" s="85"/>
      <c r="G31" s="85"/>
      <c r="H31" s="86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87" t="s">
        <v>148</v>
      </c>
      <c r="C32" s="71"/>
      <c r="D32" s="71"/>
      <c r="E32" s="71"/>
      <c r="F32" s="71"/>
      <c r="G32" s="71"/>
      <c r="H32" s="88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87"/>
      <c r="C33" s="77"/>
      <c r="D33" s="77"/>
      <c r="E33" s="77"/>
      <c r="F33" s="77"/>
      <c r="G33" s="77"/>
      <c r="H33" s="89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79" t="s">
        <v>147</v>
      </c>
      <c r="C34" s="75"/>
      <c r="D34" s="75"/>
      <c r="E34" s="75"/>
      <c r="F34" s="75"/>
      <c r="G34" s="75"/>
      <c r="H34" s="80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79"/>
      <c r="C35" s="75"/>
      <c r="D35" s="75"/>
      <c r="E35" s="75"/>
      <c r="F35" s="75"/>
      <c r="G35" s="75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6"/>
      <c r="C36" s="47"/>
      <c r="D36" s="47"/>
      <c r="E36" s="47"/>
      <c r="F36" s="47"/>
      <c r="G36" s="47"/>
      <c r="H36" s="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34:H35"/>
    <mergeCell ref="B7:H7"/>
    <mergeCell ref="B9:G9"/>
    <mergeCell ref="B31:H31"/>
    <mergeCell ref="B32:H32"/>
    <mergeCell ref="B33:H3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09110-C62B-475A-98CC-9AAD8995A2C9}">
  <dimension ref="A1:XFD1003"/>
  <sheetViews>
    <sheetView topLeftCell="A7" zoomScale="110" zoomScaleNormal="110" workbookViewId="0">
      <selection activeCell="J40" sqref="J4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145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150</v>
      </c>
      <c r="C9" s="63"/>
      <c r="D9" s="63"/>
      <c r="E9" s="63"/>
      <c r="F9" s="63"/>
      <c r="G9" s="63"/>
      <c r="H9" s="12">
        <v>5165.9399999999996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45992</v>
      </c>
      <c r="C10" s="13" t="s">
        <v>8</v>
      </c>
      <c r="D10" s="23">
        <f>5383.9+625.34</f>
        <v>6009.24</v>
      </c>
      <c r="E10" s="23">
        <f>D10-F10</f>
        <v>4506.93</v>
      </c>
      <c r="F10" s="23">
        <f>+D10*0.25</f>
        <v>1502.31</v>
      </c>
      <c r="G10" s="23">
        <f>1345.92+156.33</f>
        <v>1502.25</v>
      </c>
      <c r="H10" s="12">
        <f>H9+F10-G10</f>
        <v>5166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45993</v>
      </c>
      <c r="C11" s="13" t="s">
        <v>8</v>
      </c>
      <c r="D11" s="23">
        <f>19544.01+221.66</f>
        <v>19765.669999999998</v>
      </c>
      <c r="E11" s="23">
        <f t="shared" ref="E11:E30" si="1">D11-F11</f>
        <v>14824.252499999999</v>
      </c>
      <c r="F11" s="23">
        <f>+D11*0.25</f>
        <v>4941.4174999999996</v>
      </c>
      <c r="G11" s="23">
        <f>4885.85+55.41</f>
        <v>4941.26</v>
      </c>
      <c r="H11" s="12">
        <f t="shared" ref="H11:H33" si="2">H10+F11-G11</f>
        <v>5166.1574999999993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45994</v>
      </c>
      <c r="C12" s="13" t="s">
        <v>8</v>
      </c>
      <c r="D12" s="23">
        <f>2510.89+775</f>
        <v>3285.89</v>
      </c>
      <c r="E12" s="23">
        <f t="shared" si="1"/>
        <v>2464.4175</v>
      </c>
      <c r="F12" s="23">
        <f t="shared" ref="F12:F30" si="3">+D12*0.25</f>
        <v>821.47249999999997</v>
      </c>
      <c r="G12" s="23">
        <f>627.69+193.75</f>
        <v>821.44</v>
      </c>
      <c r="H12" s="12">
        <f t="shared" si="2"/>
        <v>5166.1899999999987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 t="s">
        <v>12</v>
      </c>
      <c r="B13" s="49">
        <v>45994</v>
      </c>
      <c r="C13" s="50" t="s">
        <v>11</v>
      </c>
      <c r="D13" s="51">
        <v>0</v>
      </c>
      <c r="E13" s="51">
        <v>0</v>
      </c>
      <c r="F13" s="51">
        <v>0</v>
      </c>
      <c r="G13" s="51">
        <v>1765.72</v>
      </c>
      <c r="H13" s="52">
        <f>H12+F13-G13</f>
        <v>3400.4699999999984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45995</v>
      </c>
      <c r="C14" s="13" t="s">
        <v>8</v>
      </c>
      <c r="D14" s="23">
        <f>2009.77+873.47</f>
        <v>2883.24</v>
      </c>
      <c r="E14" s="23">
        <f>D14-F14</f>
        <v>2162.4299999999998</v>
      </c>
      <c r="F14" s="23">
        <f>+D14*0.25</f>
        <v>720.81</v>
      </c>
      <c r="G14" s="23">
        <f>502.42+218.36</f>
        <v>720.78</v>
      </c>
      <c r="H14" s="12">
        <f t="shared" si="2"/>
        <v>3400.4999999999991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45996</v>
      </c>
      <c r="C15" s="13" t="s">
        <v>8</v>
      </c>
      <c r="D15" s="23">
        <f>1959.14+163</f>
        <v>2122.1400000000003</v>
      </c>
      <c r="E15" s="23">
        <f t="shared" si="1"/>
        <v>1591.6050000000002</v>
      </c>
      <c r="F15" s="23">
        <f t="shared" si="3"/>
        <v>530.53500000000008</v>
      </c>
      <c r="G15" s="23">
        <f>489.76+40.75</f>
        <v>530.51</v>
      </c>
      <c r="H15" s="12">
        <f t="shared" si="2"/>
        <v>3400.5249999999987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45999</v>
      </c>
      <c r="C16" s="13" t="s">
        <v>8</v>
      </c>
      <c r="D16" s="23">
        <f>2460.01+1147</f>
        <v>3607.01</v>
      </c>
      <c r="E16" s="23">
        <f t="shared" si="1"/>
        <v>2705.2575000000002</v>
      </c>
      <c r="F16" s="23">
        <f t="shared" si="3"/>
        <v>901.75250000000005</v>
      </c>
      <c r="G16" s="23">
        <f>614.97+286.75</f>
        <v>901.72</v>
      </c>
      <c r="H16" s="12">
        <f t="shared" si="2"/>
        <v>3400.5574999999981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46000</v>
      </c>
      <c r="C17" s="13" t="s">
        <v>8</v>
      </c>
      <c r="D17" s="23">
        <f>6690.16</f>
        <v>6690.16</v>
      </c>
      <c r="E17" s="23">
        <f t="shared" si="1"/>
        <v>5017.62</v>
      </c>
      <c r="F17" s="23">
        <f t="shared" si="3"/>
        <v>1672.54</v>
      </c>
      <c r="G17" s="23">
        <f>1672.48</f>
        <v>1672.48</v>
      </c>
      <c r="H17" s="12">
        <f t="shared" si="2"/>
        <v>3400.617499999998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46001</v>
      </c>
      <c r="C18" s="13" t="s">
        <v>8</v>
      </c>
      <c r="D18" s="23">
        <f>3586.16</f>
        <v>3586.16</v>
      </c>
      <c r="E18" s="23">
        <f t="shared" si="1"/>
        <v>2689.62</v>
      </c>
      <c r="F18" s="23">
        <f t="shared" si="3"/>
        <v>896.54</v>
      </c>
      <c r="G18" s="23">
        <f>896.49</f>
        <v>896.49</v>
      </c>
      <c r="H18" s="12">
        <f t="shared" si="2"/>
        <v>3400.6674999999977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46002</v>
      </c>
      <c r="C19" s="13" t="s">
        <v>8</v>
      </c>
      <c r="D19" s="23">
        <f>8453.98+489</f>
        <v>8942.98</v>
      </c>
      <c r="E19" s="23">
        <f t="shared" si="1"/>
        <v>6707.2349999999997</v>
      </c>
      <c r="F19" s="23">
        <f t="shared" si="3"/>
        <v>2235.7449999999999</v>
      </c>
      <c r="G19" s="23">
        <f>2113.42+122.25</f>
        <v>2235.67</v>
      </c>
      <c r="H19" s="12">
        <f t="shared" si="2"/>
        <v>3400.7424999999976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46003</v>
      </c>
      <c r="C20" s="13" t="s">
        <v>8</v>
      </c>
      <c r="D20" s="23">
        <f>1164.29+4964.2+163</f>
        <v>6291.49</v>
      </c>
      <c r="E20" s="23">
        <f t="shared" si="1"/>
        <v>4718.6175000000003</v>
      </c>
      <c r="F20" s="23">
        <f t="shared" si="3"/>
        <v>1572.8724999999999</v>
      </c>
      <c r="G20" s="23">
        <f>291.06+1281.8</f>
        <v>1572.86</v>
      </c>
      <c r="H20" s="12">
        <f t="shared" si="2"/>
        <v>3400.7549999999983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46006</v>
      </c>
      <c r="C21" s="13" t="s">
        <v>8</v>
      </c>
      <c r="D21" s="23">
        <f>5972.67+6071.8</f>
        <v>12044.470000000001</v>
      </c>
      <c r="E21" s="23">
        <f t="shared" si="1"/>
        <v>9033.3525000000009</v>
      </c>
      <c r="F21" s="23">
        <f t="shared" si="3"/>
        <v>3011.1175000000003</v>
      </c>
      <c r="G21" s="23">
        <f>1493.13+1517.95</f>
        <v>3011.08</v>
      </c>
      <c r="H21" s="12">
        <f t="shared" si="2"/>
        <v>3400.7924999999987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46007</v>
      </c>
      <c r="C22" s="13" t="s">
        <v>8</v>
      </c>
      <c r="D22" s="23">
        <f>11715.73+1979.2</f>
        <v>13694.93</v>
      </c>
      <c r="E22" s="23">
        <f t="shared" si="1"/>
        <v>10271.1975</v>
      </c>
      <c r="F22" s="23">
        <f t="shared" si="3"/>
        <v>3423.7325000000001</v>
      </c>
      <c r="G22" s="23">
        <f>2928.9+494.8</f>
        <v>3423.7000000000003</v>
      </c>
      <c r="H22" s="12">
        <f t="shared" si="2"/>
        <v>3400.8249999999985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46008</v>
      </c>
      <c r="C23" s="13" t="s">
        <v>8</v>
      </c>
      <c r="D23" s="23">
        <f>9497.82+3437.2</f>
        <v>12935.02</v>
      </c>
      <c r="E23" s="23">
        <f t="shared" si="1"/>
        <v>9701.2649999999994</v>
      </c>
      <c r="F23" s="23">
        <f t="shared" si="3"/>
        <v>3233.7550000000001</v>
      </c>
      <c r="G23" s="23">
        <f>2374.41+859.3</f>
        <v>3233.71</v>
      </c>
      <c r="H23" s="12">
        <f t="shared" si="2"/>
        <v>3400.8699999999981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46009</v>
      </c>
      <c r="C24" s="13" t="s">
        <v>8</v>
      </c>
      <c r="D24" s="23">
        <f>3706.62+4090.24</f>
        <v>7796.86</v>
      </c>
      <c r="E24" s="23">
        <f t="shared" si="1"/>
        <v>5847.6449999999995</v>
      </c>
      <c r="F24" s="23">
        <f t="shared" si="3"/>
        <v>1949.2149999999999</v>
      </c>
      <c r="G24" s="23">
        <f>926.64+1022.56</f>
        <v>1949.1999999999998</v>
      </c>
      <c r="H24" s="12">
        <f t="shared" si="2"/>
        <v>3400.8849999999984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46010</v>
      </c>
      <c r="C25" s="13" t="s">
        <v>8</v>
      </c>
      <c r="D25" s="23">
        <f>7833.87+1896.78</f>
        <v>9730.65</v>
      </c>
      <c r="E25" s="23">
        <f t="shared" si="1"/>
        <v>7297.9874999999993</v>
      </c>
      <c r="F25" s="23">
        <f t="shared" si="3"/>
        <v>2432.6624999999999</v>
      </c>
      <c r="G25" s="23">
        <f>1958.44+474.19</f>
        <v>2432.63</v>
      </c>
      <c r="H25" s="12">
        <f t="shared" si="2"/>
        <v>3400.9174999999987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46013</v>
      </c>
      <c r="C26" s="13" t="s">
        <v>8</v>
      </c>
      <c r="D26" s="23">
        <f>4009.4+5300</f>
        <v>9309.4</v>
      </c>
      <c r="E26" s="23">
        <f t="shared" si="1"/>
        <v>6982.0499999999993</v>
      </c>
      <c r="F26" s="23">
        <f t="shared" si="3"/>
        <v>2327.35</v>
      </c>
      <c r="G26" s="23">
        <f>1002.35+1325</f>
        <v>2327.35</v>
      </c>
      <c r="H26" s="12">
        <f t="shared" si="2"/>
        <v>3400.9174999999982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46014</v>
      </c>
      <c r="C27" s="13" t="s">
        <v>8</v>
      </c>
      <c r="D27" s="23">
        <f>17655.51+8506.6</f>
        <v>26162.11</v>
      </c>
      <c r="E27" s="23">
        <f t="shared" si="1"/>
        <v>19621.5825</v>
      </c>
      <c r="F27" s="23">
        <f t="shared" si="3"/>
        <v>6540.5275000000001</v>
      </c>
      <c r="G27" s="23">
        <f>4413.82+2126.65</f>
        <v>6540.4699999999993</v>
      </c>
      <c r="H27" s="12">
        <f t="shared" si="2"/>
        <v>3400.9749999999985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46015</v>
      </c>
      <c r="C28" s="13" t="s">
        <v>8</v>
      </c>
      <c r="D28" s="23">
        <f>13933.49+5049.6</f>
        <v>18983.09</v>
      </c>
      <c r="E28" s="23">
        <f>D28-F28</f>
        <v>14237.317500000001</v>
      </c>
      <c r="F28" s="23">
        <f t="shared" si="3"/>
        <v>4745.7725</v>
      </c>
      <c r="G28" s="23">
        <f>3483.36+1262.4</f>
        <v>4745.76</v>
      </c>
      <c r="H28" s="12">
        <f t="shared" si="2"/>
        <v>3400.9874999999984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B28+(MOD(B28,7)=6)*2+2</f>
        <v>46017</v>
      </c>
      <c r="C29" s="13" t="s">
        <v>8</v>
      </c>
      <c r="D29" s="23">
        <f>1402.44+7098.8</f>
        <v>8501.24</v>
      </c>
      <c r="E29" s="23">
        <f t="shared" si="1"/>
        <v>6375.93</v>
      </c>
      <c r="F29" s="23">
        <f t="shared" si="3"/>
        <v>2125.31</v>
      </c>
      <c r="G29" s="23">
        <f>350.59+1774.7</f>
        <v>2125.29</v>
      </c>
      <c r="H29" s="12">
        <f t="shared" si="2"/>
        <v>3401.0074999999988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68545.777499999997</v>
      </c>
    </row>
    <row r="30" spans="1:26 16384:16384" x14ac:dyDescent="0.25">
      <c r="A30" s="32"/>
      <c r="B30" s="22">
        <f t="shared" si="0"/>
        <v>46020</v>
      </c>
      <c r="C30" s="13" t="s">
        <v>8</v>
      </c>
      <c r="D30" s="38">
        <f>5161.73+9388</f>
        <v>14549.73</v>
      </c>
      <c r="E30" s="23">
        <f t="shared" si="1"/>
        <v>10912.297500000001</v>
      </c>
      <c r="F30" s="23">
        <f t="shared" si="3"/>
        <v>3637.4324999999999</v>
      </c>
      <c r="G30" s="23">
        <f>1290.4+2347</f>
        <v>3637.4</v>
      </c>
      <c r="H30" s="12">
        <f t="shared" si="2"/>
        <v>3401.0399999999986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46021</v>
      </c>
      <c r="C31" s="13" t="s">
        <v>8</v>
      </c>
      <c r="D31" s="38">
        <f>12937.17+5303.76</f>
        <v>18240.93</v>
      </c>
      <c r="E31" s="23">
        <f t="shared" ref="E31" si="4">D31-F31</f>
        <v>13680.6975</v>
      </c>
      <c r="F31" s="23">
        <f t="shared" ref="F31" si="5">+D31*0.25</f>
        <v>4560.2325000000001</v>
      </c>
      <c r="G31" s="38">
        <f>3234.21+1325.94</f>
        <v>4560.1499999999996</v>
      </c>
      <c r="H31" s="12">
        <f t="shared" si="2"/>
        <v>3401.1224999999995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46022</v>
      </c>
      <c r="C32" s="13" t="s">
        <v>8</v>
      </c>
      <c r="D32" s="38">
        <f>22175.18+1291.8</f>
        <v>23466.98</v>
      </c>
      <c r="E32" s="23">
        <f t="shared" ref="E32" si="6">D32-F32</f>
        <v>17600.235000000001</v>
      </c>
      <c r="F32" s="23">
        <f t="shared" ref="F32" si="7">+D32*0.25</f>
        <v>5866.7449999999999</v>
      </c>
      <c r="G32" s="38">
        <f>5543.6+322.95</f>
        <v>5866.55</v>
      </c>
      <c r="H32" s="12">
        <f t="shared" si="2"/>
        <v>3401.3175000000001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12</v>
      </c>
      <c r="B33" s="22">
        <v>46022</v>
      </c>
      <c r="C33" s="13" t="s">
        <v>8</v>
      </c>
      <c r="D33" s="38">
        <v>5697.54</v>
      </c>
      <c r="E33" s="23">
        <f t="shared" ref="E33" si="8">D33-F33</f>
        <v>4273.1549999999997</v>
      </c>
      <c r="F33" s="23">
        <f t="shared" ref="F33" si="9">+D33*0.25</f>
        <v>1424.385</v>
      </c>
      <c r="G33" s="38">
        <v>0</v>
      </c>
      <c r="H33" s="12">
        <f t="shared" si="2"/>
        <v>4825.7025000000003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196891.47999999998</v>
      </c>
      <c r="E34" s="20">
        <f>SUM(E10:E30)</f>
        <v>147668.61000000004</v>
      </c>
      <c r="F34" s="20">
        <f>SUM(F10:F30)</f>
        <v>49222.869999999995</v>
      </c>
      <c r="G34" s="20">
        <f>SUM(G10:G30)</f>
        <v>50987.770000000011</v>
      </c>
      <c r="H34" s="12">
        <f>H33</f>
        <v>4825.7025000000003</v>
      </c>
      <c r="I34" s="16"/>
      <c r="J34" s="2"/>
      <c r="K34" s="2"/>
      <c r="L34" s="2"/>
      <c r="M34" s="2">
        <v>1425.48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4" t="s">
        <v>10</v>
      </c>
      <c r="C35" s="85"/>
      <c r="D35" s="85"/>
      <c r="E35" s="85"/>
      <c r="F35" s="85"/>
      <c r="G35" s="85"/>
      <c r="H35" s="86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7" t="s">
        <v>153</v>
      </c>
      <c r="C36" s="71"/>
      <c r="D36" s="71"/>
      <c r="E36" s="71"/>
      <c r="F36" s="71"/>
      <c r="G36" s="71"/>
      <c r="H36" s="8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7" t="s">
        <v>152</v>
      </c>
      <c r="C37" s="77"/>
      <c r="D37" s="77"/>
      <c r="E37" s="77"/>
      <c r="F37" s="77"/>
      <c r="G37" s="77"/>
      <c r="H37" s="89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9" t="s">
        <v>151</v>
      </c>
      <c r="C38" s="75"/>
      <c r="D38" s="75"/>
      <c r="E38" s="75"/>
      <c r="F38" s="75"/>
      <c r="G38" s="75"/>
      <c r="H38" s="8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9"/>
      <c r="C39" s="75"/>
      <c r="D39" s="75"/>
      <c r="E39" s="75"/>
      <c r="F39" s="75"/>
      <c r="G39" s="75"/>
      <c r="H39" s="8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BC5D-F8CF-43CA-9D56-4D196C6488A5}">
  <dimension ref="A1:XFD1003"/>
  <sheetViews>
    <sheetView tabSelected="1" topLeftCell="A7" zoomScale="110" zoomScaleNormal="110" workbookViewId="0">
      <selection activeCell="M38" sqref="M37:M3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156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155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154</v>
      </c>
      <c r="C9" s="63"/>
      <c r="D9" s="63"/>
      <c r="E9" s="63"/>
      <c r="F9" s="63"/>
      <c r="G9" s="63"/>
      <c r="H9" s="12">
        <v>4825.7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46024</v>
      </c>
      <c r="C10" s="13" t="s">
        <v>8</v>
      </c>
      <c r="D10" s="23">
        <v>5807</v>
      </c>
      <c r="E10" s="23">
        <f>D10-F10</f>
        <v>4355.25</v>
      </c>
      <c r="F10" s="23">
        <f>+D10*0.25</f>
        <v>1451.75</v>
      </c>
      <c r="G10" s="23">
        <v>1451.75</v>
      </c>
      <c r="H10" s="12">
        <f>H9+F10-G10</f>
        <v>4825.7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46027</v>
      </c>
      <c r="C11" s="13" t="s">
        <v>8</v>
      </c>
      <c r="D11" s="23">
        <f>22326.2+7436.39</f>
        <v>29762.59</v>
      </c>
      <c r="E11" s="23">
        <f t="shared" ref="E11:E33" si="1">D11-F11</f>
        <v>22321.942500000001</v>
      </c>
      <c r="F11" s="23">
        <f>+D11*0.25</f>
        <v>7440.6475</v>
      </c>
      <c r="G11" s="23">
        <f>1859.06+5581.55</f>
        <v>7440.6100000000006</v>
      </c>
      <c r="H11" s="12">
        <f t="shared" ref="H11:H33" si="2">H10+F11-G11</f>
        <v>4825.7374999999993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46028</v>
      </c>
      <c r="C12" s="13" t="s">
        <v>8</v>
      </c>
      <c r="D12" s="23">
        <f>20830.49+14200.8</f>
        <v>35031.29</v>
      </c>
      <c r="E12" s="23">
        <f t="shared" si="1"/>
        <v>26273.467499999999</v>
      </c>
      <c r="F12" s="23">
        <f t="shared" ref="F12:F33" si="3">+D12*0.25</f>
        <v>8757.8225000000002</v>
      </c>
      <c r="G12" s="23">
        <f>5207.57+3550.2</f>
        <v>8757.77</v>
      </c>
      <c r="H12" s="12">
        <f t="shared" si="2"/>
        <v>4825.7899999999991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46029</v>
      </c>
      <c r="C13" s="13" t="s">
        <v>8</v>
      </c>
      <c r="D13" s="23">
        <f>10997.98+21730</f>
        <v>32727.98</v>
      </c>
      <c r="E13" s="23">
        <f>D13-F13</f>
        <v>24545.985000000001</v>
      </c>
      <c r="F13" s="23">
        <f>+D13*0.25</f>
        <v>8181.9949999999999</v>
      </c>
      <c r="G13" s="23">
        <f>2749.48+5432.5</f>
        <v>8181.98</v>
      </c>
      <c r="H13" s="12">
        <f>H12+F13-G13</f>
        <v>4825.8050000000003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46030</v>
      </c>
      <c r="C14" s="13" t="s">
        <v>8</v>
      </c>
      <c r="D14" s="23">
        <f>19770.22+14124.4</f>
        <v>33894.620000000003</v>
      </c>
      <c r="E14" s="23">
        <f t="shared" si="1"/>
        <v>25420.965000000004</v>
      </c>
      <c r="F14" s="23">
        <f t="shared" si="3"/>
        <v>8473.6550000000007</v>
      </c>
      <c r="G14" s="23">
        <f>4942.52+3531.1</f>
        <v>8473.6200000000008</v>
      </c>
      <c r="H14" s="12">
        <f t="shared" si="2"/>
        <v>4825.84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46031</v>
      </c>
      <c r="C15" s="13" t="s">
        <v>8</v>
      </c>
      <c r="D15" s="23">
        <f>12355.81+13244.8</f>
        <v>25600.61</v>
      </c>
      <c r="E15" s="23">
        <f t="shared" si="1"/>
        <v>19200.4575</v>
      </c>
      <c r="F15" s="23">
        <f t="shared" si="3"/>
        <v>6400.1525000000001</v>
      </c>
      <c r="G15" s="23">
        <f>3088.9+3311.2</f>
        <v>6400.1</v>
      </c>
      <c r="H15" s="12">
        <f t="shared" si="2"/>
        <v>4825.8924999999999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46034</v>
      </c>
      <c r="C16" s="13" t="s">
        <v>8</v>
      </c>
      <c r="D16" s="23">
        <f>15712.18+22626.2</f>
        <v>38338.380000000005</v>
      </c>
      <c r="E16" s="23">
        <f t="shared" si="1"/>
        <v>28753.785000000003</v>
      </c>
      <c r="F16" s="23">
        <f t="shared" si="3"/>
        <v>9584.5950000000012</v>
      </c>
      <c r="G16" s="23">
        <f>3928.01+5656.55</f>
        <v>9584.5600000000013</v>
      </c>
      <c r="H16" s="12">
        <f t="shared" si="2"/>
        <v>4825.9274999999998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91" t="s">
        <v>12</v>
      </c>
      <c r="B17" s="49">
        <v>46034</v>
      </c>
      <c r="C17" s="50" t="s">
        <v>157</v>
      </c>
      <c r="D17" s="51">
        <v>0</v>
      </c>
      <c r="E17" s="51">
        <v>0</v>
      </c>
      <c r="F17" s="51">
        <v>0</v>
      </c>
      <c r="G17" s="51">
        <v>3400.22</v>
      </c>
      <c r="H17" s="52">
        <f t="shared" si="2"/>
        <v>1425.7075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 16384:16384" x14ac:dyDescent="0.25">
      <c r="A18" s="2"/>
      <c r="B18" s="22">
        <f>B16+(MOD(B16,7)=6)*2+1</f>
        <v>46035</v>
      </c>
      <c r="C18" s="13" t="s">
        <v>8</v>
      </c>
      <c r="D18" s="23">
        <f>28383.51+11150.85</f>
        <v>39534.36</v>
      </c>
      <c r="E18" s="23">
        <f t="shared" si="1"/>
        <v>29650.77</v>
      </c>
      <c r="F18" s="23">
        <f t="shared" si="3"/>
        <v>9883.59</v>
      </c>
      <c r="G18" s="23">
        <f>7095.82+2787.71</f>
        <v>9883.5299999999988</v>
      </c>
      <c r="H18" s="12">
        <f t="shared" si="2"/>
        <v>1425.7675000000017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46036</v>
      </c>
      <c r="C19" s="13" t="s">
        <v>8</v>
      </c>
      <c r="D19" s="23">
        <f>9462.45+10796.8</f>
        <v>20259.25</v>
      </c>
      <c r="E19" s="23">
        <f t="shared" si="1"/>
        <v>15194.4375</v>
      </c>
      <c r="F19" s="23">
        <f t="shared" si="3"/>
        <v>5064.8125</v>
      </c>
      <c r="G19" s="23">
        <f>2365.6+2699.2</f>
        <v>5064.7999999999993</v>
      </c>
      <c r="H19" s="12">
        <f t="shared" si="2"/>
        <v>1425.7800000000025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46037</v>
      </c>
      <c r="C20" s="13" t="s">
        <v>8</v>
      </c>
      <c r="D20" s="23">
        <f>11377.33+8896.8</f>
        <v>20274.129999999997</v>
      </c>
      <c r="E20" s="23">
        <f t="shared" si="1"/>
        <v>15205.597499999998</v>
      </c>
      <c r="F20" s="23">
        <f t="shared" si="3"/>
        <v>5068.5324999999993</v>
      </c>
      <c r="G20" s="23">
        <f>2844.32+2224.2</f>
        <v>5068.5200000000004</v>
      </c>
      <c r="H20" s="12">
        <f t="shared" si="2"/>
        <v>1425.7925000000014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46038</v>
      </c>
      <c r="C21" s="13" t="s">
        <v>8</v>
      </c>
      <c r="D21" s="23">
        <f>19061.31+9240.2+564.4</f>
        <v>28865.910000000003</v>
      </c>
      <c r="E21" s="23">
        <f t="shared" si="1"/>
        <v>21649.432500000003</v>
      </c>
      <c r="F21" s="23">
        <f t="shared" si="3"/>
        <v>7216.4775000000009</v>
      </c>
      <c r="G21" s="23">
        <f>4765.3+2451.15</f>
        <v>7216.4500000000007</v>
      </c>
      <c r="H21" s="12">
        <f t="shared" si="2"/>
        <v>1425.8200000000015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46041</v>
      </c>
      <c r="C22" s="13" t="s">
        <v>8</v>
      </c>
      <c r="D22" s="23">
        <f>10392.7+19224.4</f>
        <v>29617.100000000002</v>
      </c>
      <c r="E22" s="23">
        <f t="shared" si="1"/>
        <v>22212.825000000001</v>
      </c>
      <c r="F22" s="23">
        <f t="shared" si="3"/>
        <v>7404.2750000000005</v>
      </c>
      <c r="G22" s="23">
        <f>2598.17+4806.1</f>
        <v>7404.27</v>
      </c>
      <c r="H22" s="12">
        <f t="shared" si="2"/>
        <v>1425.8250000000007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46042</v>
      </c>
      <c r="C23" s="13" t="s">
        <v>8</v>
      </c>
      <c r="D23" s="23">
        <f>29150.36+16328.2</f>
        <v>45478.559999999998</v>
      </c>
      <c r="E23" s="23">
        <f t="shared" si="1"/>
        <v>34108.92</v>
      </c>
      <c r="F23" s="23">
        <f t="shared" si="3"/>
        <v>11369.64</v>
      </c>
      <c r="G23" s="23">
        <f>7287.58+4082.05</f>
        <v>11369.630000000001</v>
      </c>
      <c r="H23" s="12">
        <f t="shared" si="2"/>
        <v>1425.8349999999991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46043</v>
      </c>
      <c r="C24" s="13" t="s">
        <v>8</v>
      </c>
      <c r="D24" s="23">
        <f>23111.21+18389.6</f>
        <v>41500.81</v>
      </c>
      <c r="E24" s="23">
        <f t="shared" si="1"/>
        <v>31125.607499999998</v>
      </c>
      <c r="F24" s="23">
        <f t="shared" si="3"/>
        <v>10375.202499999999</v>
      </c>
      <c r="G24" s="23">
        <f>5777.77+4597.4</f>
        <v>10375.17</v>
      </c>
      <c r="H24" s="12">
        <f t="shared" si="2"/>
        <v>1425.8674999999985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46044</v>
      </c>
      <c r="C25" s="13" t="s">
        <v>8</v>
      </c>
      <c r="D25" s="23">
        <f>15374.65+19758.1</f>
        <v>35132.75</v>
      </c>
      <c r="E25" s="23">
        <f t="shared" si="1"/>
        <v>26349.5625</v>
      </c>
      <c r="F25" s="23">
        <f t="shared" si="3"/>
        <v>8783.1875</v>
      </c>
      <c r="G25" s="23">
        <f>3843.66+4939.52</f>
        <v>8783.18</v>
      </c>
      <c r="H25" s="12">
        <f t="shared" si="2"/>
        <v>1425.8749999999982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46045</v>
      </c>
      <c r="C26" s="13" t="s">
        <v>8</v>
      </c>
      <c r="D26" s="23">
        <f>15391.72+11067.6</f>
        <v>26459.32</v>
      </c>
      <c r="E26" s="23">
        <f t="shared" si="1"/>
        <v>19844.489999999998</v>
      </c>
      <c r="F26" s="23">
        <f t="shared" si="3"/>
        <v>6614.83</v>
      </c>
      <c r="G26" s="23">
        <f>3847.91+2766.9</f>
        <v>6614.8099999999995</v>
      </c>
      <c r="H26" s="12">
        <f t="shared" si="2"/>
        <v>1425.8949999999986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46048</v>
      </c>
      <c r="C27" s="13" t="s">
        <v>8</v>
      </c>
      <c r="D27" s="23">
        <f>14317.14+33088.7</f>
        <v>47405.84</v>
      </c>
      <c r="E27" s="23">
        <f t="shared" si="1"/>
        <v>35554.379999999997</v>
      </c>
      <c r="F27" s="23">
        <f t="shared" si="3"/>
        <v>11851.46</v>
      </c>
      <c r="G27" s="23">
        <f>3579.27+8272.17</f>
        <v>11851.44</v>
      </c>
      <c r="H27" s="12">
        <f t="shared" si="2"/>
        <v>1425.9149999999972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46049</v>
      </c>
      <c r="C28" s="13" t="s">
        <v>8</v>
      </c>
      <c r="D28" s="23">
        <f>54607.96+31612.8+132.8</f>
        <v>86353.56</v>
      </c>
      <c r="E28" s="23">
        <f>D28-F28</f>
        <v>64765.17</v>
      </c>
      <c r="F28" s="23">
        <f t="shared" si="3"/>
        <v>21588.39</v>
      </c>
      <c r="G28" s="23">
        <f>13651.96+7936.4</f>
        <v>21588.36</v>
      </c>
      <c r="H28" s="12">
        <f t="shared" si="2"/>
        <v>1425.9449999999961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46050</v>
      </c>
      <c r="C29" s="13" t="s">
        <v>8</v>
      </c>
      <c r="D29" s="23">
        <f>65472.94+29822.4+132.8</f>
        <v>95428.14</v>
      </c>
      <c r="E29" s="23">
        <f t="shared" si="1"/>
        <v>71571.104999999996</v>
      </c>
      <c r="F29" s="23">
        <f t="shared" si="3"/>
        <v>23857.035</v>
      </c>
      <c r="G29" s="23">
        <f>16368.22+7488.8</f>
        <v>23857.02</v>
      </c>
      <c r="H29" s="12">
        <f t="shared" si="2"/>
        <v>1425.9599999999955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262189.26</v>
      </c>
    </row>
    <row r="30" spans="1:26 16384:16384" x14ac:dyDescent="0.25">
      <c r="A30" s="32"/>
      <c r="B30" s="22">
        <f t="shared" si="0"/>
        <v>46051</v>
      </c>
      <c r="C30" s="13" t="s">
        <v>8</v>
      </c>
      <c r="D30" s="38">
        <f>56782.44+42369.8+1349.8</f>
        <v>100502.04000000001</v>
      </c>
      <c r="E30" s="23">
        <f t="shared" si="1"/>
        <v>75376.53</v>
      </c>
      <c r="F30" s="23">
        <f t="shared" si="3"/>
        <v>25125.510000000002</v>
      </c>
      <c r="G30" s="23">
        <f>14195.56+10929.9</f>
        <v>25125.46</v>
      </c>
      <c r="H30" s="12">
        <f t="shared" si="2"/>
        <v>1426.0099999999984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46052</v>
      </c>
      <c r="C31" s="13" t="s">
        <v>8</v>
      </c>
      <c r="D31" s="38">
        <f>103994.96+82902.4+962.8</f>
        <v>187860.15999999997</v>
      </c>
      <c r="E31" s="23">
        <f t="shared" si="1"/>
        <v>140895.12</v>
      </c>
      <c r="F31" s="23">
        <f t="shared" si="3"/>
        <v>46965.039999999994</v>
      </c>
      <c r="G31" s="38">
        <f>25998.7+20966.3</f>
        <v>46965</v>
      </c>
      <c r="H31" s="12">
        <f t="shared" si="2"/>
        <v>1426.0499999999884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46055</v>
      </c>
      <c r="C32" s="13" t="s">
        <v>8</v>
      </c>
      <c r="D32" s="38">
        <f>22175.18+1291.8</f>
        <v>23466.98</v>
      </c>
      <c r="E32" s="23">
        <f t="shared" si="1"/>
        <v>17600.235000000001</v>
      </c>
      <c r="F32" s="23">
        <f t="shared" si="3"/>
        <v>5866.7449999999999</v>
      </c>
      <c r="G32" s="38">
        <f>5543.6+322.95</f>
        <v>5866.55</v>
      </c>
      <c r="H32" s="12">
        <f t="shared" si="2"/>
        <v>1426.2449999999881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90" t="s">
        <v>12</v>
      </c>
      <c r="B33" s="22">
        <v>46022</v>
      </c>
      <c r="C33" s="13" t="s">
        <v>8</v>
      </c>
      <c r="D33" s="38">
        <v>1681.22</v>
      </c>
      <c r="E33" s="23">
        <f t="shared" si="1"/>
        <v>1260.915</v>
      </c>
      <c r="F33" s="23">
        <f t="shared" si="3"/>
        <v>420.30500000000001</v>
      </c>
      <c r="G33" s="38">
        <v>0</v>
      </c>
      <c r="H33" s="12">
        <f t="shared" si="2"/>
        <v>1846.5499999999881</v>
      </c>
      <c r="I33" s="31"/>
      <c r="J33" s="40">
        <f>H33-1425.48</f>
        <v>421.06999999998811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817974.24000000011</v>
      </c>
      <c r="E34" s="20">
        <f>SUM(E10:E30)</f>
        <v>613480.68000000005</v>
      </c>
      <c r="F34" s="20">
        <f>SUM(F10:F30)</f>
        <v>204493.56000000003</v>
      </c>
      <c r="G34" s="20">
        <f>SUM(G10:G30)</f>
        <v>207893.25</v>
      </c>
      <c r="H34" s="12">
        <f>H33</f>
        <v>1846.5499999999881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4" t="s">
        <v>10</v>
      </c>
      <c r="C35" s="85"/>
      <c r="D35" s="85"/>
      <c r="E35" s="85"/>
      <c r="F35" s="85"/>
      <c r="G35" s="85"/>
      <c r="H35" s="86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7" t="s">
        <v>158</v>
      </c>
      <c r="C36" s="71"/>
      <c r="D36" s="71"/>
      <c r="E36" s="71"/>
      <c r="F36" s="71"/>
      <c r="G36" s="71"/>
      <c r="H36" s="8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7" t="s">
        <v>159</v>
      </c>
      <c r="C37" s="77"/>
      <c r="D37" s="77"/>
      <c r="E37" s="77"/>
      <c r="F37" s="77"/>
      <c r="G37" s="77"/>
      <c r="H37" s="89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9" t="s">
        <v>160</v>
      </c>
      <c r="C38" s="75"/>
      <c r="D38" s="75"/>
      <c r="E38" s="75"/>
      <c r="F38" s="75"/>
      <c r="G38" s="75"/>
      <c r="H38" s="8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9"/>
      <c r="C39" s="75"/>
      <c r="D39" s="75"/>
      <c r="E39" s="75"/>
      <c r="F39" s="75"/>
      <c r="G39" s="75"/>
      <c r="H39" s="8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25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26</v>
      </c>
      <c r="C9" s="63"/>
      <c r="D9" s="63"/>
      <c r="E9" s="63"/>
      <c r="F9" s="63"/>
      <c r="G9" s="63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4" t="s">
        <v>10</v>
      </c>
      <c r="C38" s="65"/>
      <c r="D38" s="65"/>
      <c r="E38" s="65"/>
      <c r="F38" s="65"/>
      <c r="G38" s="65"/>
      <c r="H38" s="66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3" t="s">
        <v>29</v>
      </c>
      <c r="C39" s="54"/>
      <c r="D39" s="54"/>
      <c r="E39" s="54"/>
      <c r="F39" s="54"/>
      <c r="G39" s="54"/>
      <c r="H39" s="55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7" t="s">
        <v>30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7"/>
      <c r="C41" s="54"/>
      <c r="D41" s="54"/>
      <c r="E41" s="54"/>
      <c r="F41" s="54"/>
      <c r="G41" s="54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3"/>
      <c r="C42" s="54"/>
      <c r="D42" s="54"/>
      <c r="E42" s="54"/>
      <c r="F42" s="54"/>
      <c r="G42" s="54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6"/>
      <c r="C43" s="57"/>
      <c r="D43" s="57"/>
      <c r="E43" s="57"/>
      <c r="F43" s="57"/>
      <c r="G43" s="57"/>
      <c r="H43" s="58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44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32</v>
      </c>
      <c r="C9" s="63"/>
      <c r="D9" s="63"/>
      <c r="E9" s="63"/>
      <c r="F9" s="63"/>
      <c r="G9" s="63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4" t="s">
        <v>10</v>
      </c>
      <c r="C40" s="65"/>
      <c r="D40" s="65"/>
      <c r="E40" s="65"/>
      <c r="F40" s="65"/>
      <c r="G40" s="65"/>
      <c r="H40" s="6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3" t="s">
        <v>35</v>
      </c>
      <c r="C41" s="54"/>
      <c r="D41" s="54"/>
      <c r="E41" s="54"/>
      <c r="F41" s="54"/>
      <c r="G41" s="54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7" t="s">
        <v>38</v>
      </c>
      <c r="C42" s="54"/>
      <c r="D42" s="54"/>
      <c r="E42" s="54"/>
      <c r="F42" s="54"/>
      <c r="G42" s="54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7" t="s">
        <v>36</v>
      </c>
      <c r="C43" s="54"/>
      <c r="D43" s="54"/>
      <c r="E43" s="54"/>
      <c r="F43" s="54"/>
      <c r="G43" s="54"/>
      <c r="H43" s="55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7" t="s">
        <v>39</v>
      </c>
      <c r="C44" s="68"/>
      <c r="D44" s="68"/>
      <c r="E44" s="68"/>
      <c r="F44" s="68"/>
      <c r="G44" s="68"/>
      <c r="H44" s="6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6"/>
      <c r="C45" s="57"/>
      <c r="D45" s="57"/>
      <c r="E45" s="57"/>
      <c r="F45" s="57"/>
      <c r="G45" s="57"/>
      <c r="H45" s="58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59" t="s">
        <v>45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62" t="s">
        <v>49</v>
      </c>
      <c r="C9" s="63"/>
      <c r="D9" s="63"/>
      <c r="E9" s="63"/>
      <c r="F9" s="63"/>
      <c r="G9" s="63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64" t="s">
        <v>10</v>
      </c>
      <c r="C40" s="65"/>
      <c r="D40" s="65"/>
      <c r="E40" s="65"/>
      <c r="F40" s="65"/>
      <c r="G40" s="65"/>
      <c r="H40" s="6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53" t="s">
        <v>41</v>
      </c>
      <c r="C41" s="71"/>
      <c r="D41" s="71"/>
      <c r="E41" s="71"/>
      <c r="F41" s="71"/>
      <c r="G41" s="71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7" t="s">
        <v>40</v>
      </c>
      <c r="C42" s="71"/>
      <c r="D42" s="71"/>
      <c r="E42" s="71"/>
      <c r="F42" s="71"/>
      <c r="G42" s="71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7" t="s">
        <v>43</v>
      </c>
      <c r="C43" s="71"/>
      <c r="D43" s="71"/>
      <c r="E43" s="71"/>
      <c r="F43" s="71"/>
      <c r="G43" s="71"/>
      <c r="H43" s="55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7" t="s">
        <v>42</v>
      </c>
      <c r="C44" s="70"/>
      <c r="D44" s="70"/>
      <c r="E44" s="70"/>
      <c r="F44" s="70"/>
      <c r="G44" s="70"/>
      <c r="H44" s="6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56"/>
      <c r="C45" s="57"/>
      <c r="D45" s="57"/>
      <c r="E45" s="57"/>
      <c r="F45" s="57"/>
      <c r="G45" s="57"/>
      <c r="H45" s="58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57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47</v>
      </c>
      <c r="C9" s="63"/>
      <c r="D9" s="63"/>
      <c r="E9" s="63"/>
      <c r="F9" s="63"/>
      <c r="G9" s="63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4" t="s">
        <v>10</v>
      </c>
      <c r="C40" s="65"/>
      <c r="D40" s="65"/>
      <c r="E40" s="65"/>
      <c r="F40" s="65"/>
      <c r="G40" s="65"/>
      <c r="H40" s="6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3" t="s">
        <v>51</v>
      </c>
      <c r="C41" s="54"/>
      <c r="D41" s="54"/>
      <c r="E41" s="54"/>
      <c r="F41" s="54"/>
      <c r="G41" s="54"/>
      <c r="H41" s="55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7" t="s">
        <v>50</v>
      </c>
      <c r="C42" s="54"/>
      <c r="D42" s="54"/>
      <c r="E42" s="54"/>
      <c r="F42" s="54"/>
      <c r="G42" s="54"/>
      <c r="H42" s="55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7"/>
      <c r="C43" s="54"/>
      <c r="D43" s="54"/>
      <c r="E43" s="54"/>
      <c r="F43" s="54"/>
      <c r="G43" s="54"/>
      <c r="H43" s="55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7"/>
      <c r="C44" s="68"/>
      <c r="D44" s="68"/>
      <c r="E44" s="68"/>
      <c r="F44" s="68"/>
      <c r="G44" s="68"/>
      <c r="H44" s="6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6"/>
      <c r="C45" s="57"/>
      <c r="D45" s="57"/>
      <c r="E45" s="57"/>
      <c r="F45" s="57"/>
      <c r="G45" s="57"/>
      <c r="H45" s="58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58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53</v>
      </c>
      <c r="C9" s="63"/>
      <c r="D9" s="63"/>
      <c r="E9" s="63"/>
      <c r="F9" s="63"/>
      <c r="G9" s="63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4" t="s">
        <v>10</v>
      </c>
      <c r="C37" s="65"/>
      <c r="D37" s="65"/>
      <c r="E37" s="65"/>
      <c r="F37" s="65"/>
      <c r="G37" s="65"/>
      <c r="H37" s="6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3" t="s">
        <v>54</v>
      </c>
      <c r="C38" s="54"/>
      <c r="D38" s="54"/>
      <c r="E38" s="54"/>
      <c r="F38" s="54"/>
      <c r="G38" s="54"/>
      <c r="H38" s="55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7" t="s">
        <v>55</v>
      </c>
      <c r="C39" s="71"/>
      <c r="D39" s="71"/>
      <c r="E39" s="71"/>
      <c r="F39" s="71"/>
      <c r="G39" s="71"/>
      <c r="H39" s="55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7" t="s">
        <v>56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7"/>
      <c r="C41" s="68"/>
      <c r="D41" s="68"/>
      <c r="E41" s="68"/>
      <c r="F41" s="68"/>
      <c r="G41" s="68"/>
      <c r="H41" s="6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6"/>
      <c r="C42" s="57"/>
      <c r="D42" s="57"/>
      <c r="E42" s="57"/>
      <c r="F42" s="57"/>
      <c r="G42" s="57"/>
      <c r="H42" s="58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59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61</v>
      </c>
      <c r="C9" s="63"/>
      <c r="D9" s="63"/>
      <c r="E9" s="63"/>
      <c r="F9" s="63"/>
      <c r="G9" s="63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4" t="s">
        <v>10</v>
      </c>
      <c r="C37" s="65"/>
      <c r="D37" s="65"/>
      <c r="E37" s="65"/>
      <c r="F37" s="65"/>
      <c r="G37" s="65"/>
      <c r="H37" s="6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3" t="s">
        <v>62</v>
      </c>
      <c r="C38" s="54"/>
      <c r="D38" s="54"/>
      <c r="E38" s="54"/>
      <c r="F38" s="54"/>
      <c r="G38" s="54"/>
      <c r="H38" s="55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7" t="s">
        <v>63</v>
      </c>
      <c r="C39" s="71"/>
      <c r="D39" s="71"/>
      <c r="E39" s="71"/>
      <c r="F39" s="71"/>
      <c r="G39" s="71"/>
      <c r="H39" s="55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7" t="s">
        <v>64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7"/>
      <c r="C41" s="68"/>
      <c r="D41" s="68"/>
      <c r="E41" s="68"/>
      <c r="F41" s="68"/>
      <c r="G41" s="68"/>
      <c r="H41" s="6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6"/>
      <c r="C42" s="57"/>
      <c r="D42" s="57"/>
      <c r="E42" s="57"/>
      <c r="F42" s="57"/>
      <c r="G42" s="57"/>
      <c r="H42" s="58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9" t="s">
        <v>70</v>
      </c>
      <c r="C7" s="60"/>
      <c r="D7" s="60"/>
      <c r="E7" s="60"/>
      <c r="F7" s="60"/>
      <c r="G7" s="60"/>
      <c r="H7" s="6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2" t="s">
        <v>66</v>
      </c>
      <c r="C9" s="63"/>
      <c r="D9" s="63"/>
      <c r="E9" s="63"/>
      <c r="F9" s="63"/>
      <c r="G9" s="63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4" t="s">
        <v>10</v>
      </c>
      <c r="C37" s="65"/>
      <c r="D37" s="65"/>
      <c r="E37" s="65"/>
      <c r="F37" s="65"/>
      <c r="G37" s="65"/>
      <c r="H37" s="6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3" t="s">
        <v>67</v>
      </c>
      <c r="C38" s="54"/>
      <c r="D38" s="54"/>
      <c r="E38" s="54"/>
      <c r="F38" s="54"/>
      <c r="G38" s="54"/>
      <c r="H38" s="55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7" t="s">
        <v>68</v>
      </c>
      <c r="C39" s="71"/>
      <c r="D39" s="71"/>
      <c r="E39" s="71"/>
      <c r="F39" s="71"/>
      <c r="G39" s="71"/>
      <c r="H39" s="55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7" t="s">
        <v>69</v>
      </c>
      <c r="C40" s="54"/>
      <c r="D40" s="54"/>
      <c r="E40" s="54"/>
      <c r="F40" s="54"/>
      <c r="G40" s="54"/>
      <c r="H40" s="55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7"/>
      <c r="C41" s="68"/>
      <c r="D41" s="68"/>
      <c r="E41" s="68"/>
      <c r="F41" s="68"/>
      <c r="G41" s="68"/>
      <c r="H41" s="6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6"/>
      <c r="C42" s="57"/>
      <c r="D42" s="57"/>
      <c r="E42" s="57"/>
      <c r="F42" s="57"/>
      <c r="G42" s="57"/>
      <c r="H42" s="58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24</vt:i4>
      </vt:variant>
    </vt:vector>
  </HeadingPairs>
  <TitlesOfParts>
    <vt:vector size="49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12-2025</vt:lpstr>
      <vt:lpstr>01-2026</vt:lpstr>
      <vt:lpstr>'01-2024'!Area_de_impressao</vt:lpstr>
      <vt:lpstr>'01-2025'!Area_de_impressao</vt:lpstr>
      <vt:lpstr>'01-2026'!Area_de_impressao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  <vt:lpstr>'12-2025'!Area_de_impressao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2025-11-26T12:59:00Z</cp:lastPrinted>
  <dcterms:created xsi:type="dcterms:W3CDTF">2012-01-17T12:10:04Z</dcterms:created>
  <dcterms:modified xsi:type="dcterms:W3CDTF">2026-02-20T19:29:41Z</dcterms:modified>
</cp:coreProperties>
</file>