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6\04.26\1. Demonstrativos 04-2026\"/>
    </mc:Choice>
  </mc:AlternateContent>
  <xr:revisionPtr revIDLastSave="0" documentId="13_ncr:1_{AC8CC728-D393-4782-8DE6-71D57A11B2F4}" xr6:coauthVersionLast="47" xr6:coauthVersionMax="47" xr10:uidLastSave="{00000000-0000-0000-0000-000000000000}"/>
  <bookViews>
    <workbookView xWindow="0" yWindow="0" windowWidth="19200" windowHeight="15600" tabRatio="918" firstSheet="16" activeTab="27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  <sheet name="11-2025" sheetId="35" r:id="rId23"/>
    <sheet name="12-2025" sheetId="36" r:id="rId24"/>
    <sheet name="01-2026" sheetId="39" r:id="rId25"/>
    <sheet name="02-2026" sheetId="40" r:id="rId26"/>
    <sheet name="03-2026" sheetId="41" r:id="rId27"/>
    <sheet name="04-2026" sheetId="42" r:id="rId28"/>
  </sheets>
  <definedNames>
    <definedName name="_xlnm.Print_Area" localSheetId="0">'01-2024'!$A$1:$I$46</definedName>
    <definedName name="_xlnm.Print_Area" localSheetId="12">'01-2025'!$A$1:$H$36</definedName>
    <definedName name="_xlnm.Print_Area" localSheetId="24">'01-2026'!$A$1:$H$40</definedName>
    <definedName name="_xlnm.Print_Area" localSheetId="13">'02-2025'!$A$1:$H$38</definedName>
    <definedName name="_xlnm.Print_Area" localSheetId="25">'02-2026'!$A$1:$H$38</definedName>
    <definedName name="_xlnm.Print_Area" localSheetId="2">'03-2024'!$A$1:$H$44</definedName>
    <definedName name="_xlnm.Print_Area" localSheetId="14">'03-2025'!$A$1:$H$37</definedName>
    <definedName name="_xlnm.Print_Area" localSheetId="26">'03-2026'!$A$1:$H$43</definedName>
    <definedName name="_xlnm.Print_Area" localSheetId="3">'04-2024'!$A$1:$H$46</definedName>
    <definedName name="_xlnm.Print_Area" localSheetId="15">'04-2025'!$A$1:$H$39</definedName>
    <definedName name="_xlnm.Print_Area" localSheetId="27">'04-2026'!$A$1:$H$39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22">'11-2025'!$A$1:$H$36</definedName>
    <definedName name="_xlnm.Print_Area" localSheetId="11">'12-2024'!$A$1:$H$42</definedName>
    <definedName name="_xlnm.Print_Area" localSheetId="23">'12-2025'!$A$1:$H$40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4" i="42" l="1"/>
  <c r="H34" i="41"/>
  <c r="F34" i="41" l="1"/>
  <c r="F34" i="42"/>
  <c r="G31" i="42" l="1"/>
  <c r="D31" i="42"/>
  <c r="G30" i="42"/>
  <c r="D30" i="42"/>
  <c r="F30" i="42" s="1"/>
  <c r="G29" i="42"/>
  <c r="D29" i="42"/>
  <c r="F29" i="42" s="1"/>
  <c r="E29" i="42" s="1"/>
  <c r="G28" i="42"/>
  <c r="D28" i="42"/>
  <c r="F28" i="42" s="1"/>
  <c r="E28" i="42" s="1"/>
  <c r="G27" i="42"/>
  <c r="D27" i="42"/>
  <c r="F27" i="42" s="1"/>
  <c r="G26" i="42"/>
  <c r="D26" i="42"/>
  <c r="F26" i="42" s="1"/>
  <c r="E26" i="42" s="1"/>
  <c r="G25" i="42"/>
  <c r="D25" i="42"/>
  <c r="F25" i="42" s="1"/>
  <c r="G23" i="42"/>
  <c r="D23" i="42"/>
  <c r="F23" i="42" s="1"/>
  <c r="G22" i="42"/>
  <c r="D22" i="42"/>
  <c r="F22" i="42" s="1"/>
  <c r="E22" i="42" s="1"/>
  <c r="G21" i="42"/>
  <c r="D21" i="42"/>
  <c r="F21" i="42" s="1"/>
  <c r="G20" i="42"/>
  <c r="D20" i="42"/>
  <c r="F20" i="42" s="1"/>
  <c r="E20" i="42" s="1"/>
  <c r="G19" i="42"/>
  <c r="D19" i="42"/>
  <c r="F19" i="42" s="1"/>
  <c r="G18" i="42"/>
  <c r="D18" i="42"/>
  <c r="F18" i="42" s="1"/>
  <c r="E18" i="42" s="1"/>
  <c r="G17" i="42"/>
  <c r="D17" i="42"/>
  <c r="F17" i="42" s="1"/>
  <c r="G16" i="42"/>
  <c r="D16" i="42"/>
  <c r="F16" i="42" s="1"/>
  <c r="E16" i="42" s="1"/>
  <c r="G15" i="42"/>
  <c r="D15" i="42"/>
  <c r="F15" i="42" s="1"/>
  <c r="G14" i="42"/>
  <c r="D14" i="42"/>
  <c r="F14" i="42" s="1"/>
  <c r="E14" i="42" s="1"/>
  <c r="G13" i="42"/>
  <c r="D13" i="42"/>
  <c r="F13" i="42" s="1"/>
  <c r="G11" i="42"/>
  <c r="D11" i="42"/>
  <c r="F11" i="42" s="1"/>
  <c r="E11" i="42" s="1"/>
  <c r="G10" i="42"/>
  <c r="D10" i="42"/>
  <c r="F10" i="42" s="1"/>
  <c r="F32" i="42"/>
  <c r="E32" i="42" s="1"/>
  <c r="F24" i="42"/>
  <c r="E24" i="42" s="1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E34" i="41"/>
  <c r="G34" i="42" l="1"/>
  <c r="F31" i="42"/>
  <c r="E31" i="42" s="1"/>
  <c r="F12" i="42"/>
  <c r="E12" i="42" s="1"/>
  <c r="D34" i="42"/>
  <c r="E10" i="42"/>
  <c r="B29" i="42"/>
  <c r="B30" i="42" s="1"/>
  <c r="B31" i="42" s="1"/>
  <c r="H10" i="42"/>
  <c r="H11" i="42" s="1"/>
  <c r="E13" i="42"/>
  <c r="E15" i="42"/>
  <c r="E17" i="42"/>
  <c r="E19" i="42"/>
  <c r="E21" i="42"/>
  <c r="E23" i="42"/>
  <c r="E25" i="42"/>
  <c r="E27" i="42"/>
  <c r="E30" i="42"/>
  <c r="G33" i="41"/>
  <c r="D33" i="41"/>
  <c r="F33" i="41" s="1"/>
  <c r="G32" i="41"/>
  <c r="D32" i="41"/>
  <c r="F32" i="41" s="1"/>
  <c r="E32" i="41" s="1"/>
  <c r="G31" i="41"/>
  <c r="D31" i="41"/>
  <c r="F31" i="41" s="1"/>
  <c r="E31" i="41" s="1"/>
  <c r="G30" i="41"/>
  <c r="D30" i="41"/>
  <c r="F30" i="41" s="1"/>
  <c r="E30" i="41" s="1"/>
  <c r="G28" i="41"/>
  <c r="D28" i="41"/>
  <c r="F28" i="41" s="1"/>
  <c r="E28" i="41" s="1"/>
  <c r="G27" i="41"/>
  <c r="D27" i="41"/>
  <c r="F27" i="41" s="1"/>
  <c r="E27" i="41" s="1"/>
  <c r="G26" i="41"/>
  <c r="D26" i="41"/>
  <c r="F26" i="41" s="1"/>
  <c r="E26" i="41" s="1"/>
  <c r="G25" i="41"/>
  <c r="D25" i="41"/>
  <c r="F25" i="41" s="1"/>
  <c r="E25" i="41" s="1"/>
  <c r="G24" i="41"/>
  <c r="D24" i="41"/>
  <c r="F24" i="41" s="1"/>
  <c r="E24" i="41" s="1"/>
  <c r="G23" i="41"/>
  <c r="D23" i="41"/>
  <c r="F23" i="41" s="1"/>
  <c r="E23" i="41" s="1"/>
  <c r="G22" i="41"/>
  <c r="D22" i="41"/>
  <c r="F22" i="41" s="1"/>
  <c r="E22" i="41" s="1"/>
  <c r="G21" i="41"/>
  <c r="D21" i="41"/>
  <c r="F21" i="41" s="1"/>
  <c r="E21" i="41" s="1"/>
  <c r="G20" i="41"/>
  <c r="D20" i="41"/>
  <c r="F20" i="41" s="1"/>
  <c r="E20" i="41" s="1"/>
  <c r="G19" i="41"/>
  <c r="D19" i="41"/>
  <c r="G18" i="41"/>
  <c r="D18" i="41"/>
  <c r="F18" i="41" s="1"/>
  <c r="E18" i="41" s="1"/>
  <c r="G17" i="41"/>
  <c r="D17" i="41"/>
  <c r="F17" i="41" s="1"/>
  <c r="E17" i="41" s="1"/>
  <c r="G16" i="41"/>
  <c r="D16" i="41"/>
  <c r="F16" i="41" s="1"/>
  <c r="E16" i="41" s="1"/>
  <c r="G15" i="41"/>
  <c r="D15" i="41"/>
  <c r="F15" i="41" s="1"/>
  <c r="E15" i="41" s="1"/>
  <c r="G14" i="41"/>
  <c r="D14" i="41"/>
  <c r="F14" i="41" s="1"/>
  <c r="G12" i="41"/>
  <c r="D12" i="41"/>
  <c r="F12" i="41" s="1"/>
  <c r="G11" i="41"/>
  <c r="D11" i="41"/>
  <c r="G10" i="41"/>
  <c r="G36" i="41" s="1"/>
  <c r="D10" i="41"/>
  <c r="D36" i="41" s="1"/>
  <c r="F11" i="41"/>
  <c r="E11" i="41" s="1"/>
  <c r="B11" i="41"/>
  <c r="B12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30" i="41" s="1"/>
  <c r="G10" i="40"/>
  <c r="G32" i="40" s="1"/>
  <c r="D10" i="40"/>
  <c r="F10" i="40" s="1"/>
  <c r="F30" i="40"/>
  <c r="E30" i="40" s="1"/>
  <c r="F29" i="40"/>
  <c r="E29" i="40" s="1"/>
  <c r="F28" i="40"/>
  <c r="E28" i="40" s="1"/>
  <c r="F27" i="40"/>
  <c r="F26" i="40"/>
  <c r="E26" i="40" s="1"/>
  <c r="F25" i="40"/>
  <c r="F24" i="40"/>
  <c r="E24" i="40" s="1"/>
  <c r="F23" i="40"/>
  <c r="E23" i="40" s="1"/>
  <c r="F22" i="40"/>
  <c r="E22" i="40" s="1"/>
  <c r="F21" i="40"/>
  <c r="E21" i="40" s="1"/>
  <c r="F20" i="40"/>
  <c r="E20" i="40" s="1"/>
  <c r="F18" i="40"/>
  <c r="E18" i="40" s="1"/>
  <c r="F17" i="40"/>
  <c r="E17" i="40" s="1"/>
  <c r="F15" i="40"/>
  <c r="E15" i="40" s="1"/>
  <c r="F14" i="40"/>
  <c r="E14" i="40" s="1"/>
  <c r="F13" i="40"/>
  <c r="E13" i="40" s="1"/>
  <c r="F12" i="40"/>
  <c r="E12" i="40" s="1"/>
  <c r="F11" i="40"/>
  <c r="E11" i="40" s="1"/>
  <c r="B11" i="40"/>
  <c r="B12" i="40" s="1"/>
  <c r="B13" i="40" s="1"/>
  <c r="B14" i="40" s="1"/>
  <c r="B15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H12" i="42" l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E34" i="42"/>
  <c r="H10" i="40"/>
  <c r="E33" i="41"/>
  <c r="E12" i="41"/>
  <c r="E14" i="41"/>
  <c r="F19" i="41"/>
  <c r="E19" i="41" s="1"/>
  <c r="F10" i="41"/>
  <c r="B31" i="41"/>
  <c r="B32" i="41" s="1"/>
  <c r="B33" i="41" s="1"/>
  <c r="E10" i="40"/>
  <c r="E27" i="40"/>
  <c r="F19" i="40"/>
  <c r="E19" i="40" s="1"/>
  <c r="E25" i="40"/>
  <c r="D32" i="40"/>
  <c r="H11" i="40"/>
  <c r="H12" i="40" s="1"/>
  <c r="H13" i="40" s="1"/>
  <c r="H14" i="40" s="1"/>
  <c r="H15" i="40" s="1"/>
  <c r="F32" i="40"/>
  <c r="B30" i="40"/>
  <c r="G31" i="39"/>
  <c r="D31" i="39"/>
  <c r="F31" i="39" s="1"/>
  <c r="G30" i="39"/>
  <c r="D30" i="39"/>
  <c r="F30" i="39" s="1"/>
  <c r="G29" i="39"/>
  <c r="D29" i="39"/>
  <c r="F29" i="39" s="1"/>
  <c r="G28" i="39"/>
  <c r="D28" i="39"/>
  <c r="G27" i="39"/>
  <c r="D27" i="39"/>
  <c r="F27" i="39" s="1"/>
  <c r="G26" i="39"/>
  <c r="D26" i="39"/>
  <c r="F26" i="39" s="1"/>
  <c r="G25" i="39"/>
  <c r="D25" i="39"/>
  <c r="G24" i="39"/>
  <c r="D24" i="39"/>
  <c r="G23" i="39"/>
  <c r="D23" i="39"/>
  <c r="G22" i="39"/>
  <c r="D22" i="39"/>
  <c r="G21" i="39"/>
  <c r="D21" i="39"/>
  <c r="F21" i="39" s="1"/>
  <c r="G20" i="39"/>
  <c r="D20" i="39"/>
  <c r="F20" i="39" s="1"/>
  <c r="G19" i="39"/>
  <c r="D19" i="39"/>
  <c r="F19" i="39" s="1"/>
  <c r="G18" i="39"/>
  <c r="D18" i="39"/>
  <c r="F18" i="39" s="1"/>
  <c r="G16" i="39"/>
  <c r="D16" i="39"/>
  <c r="F16" i="39" s="1"/>
  <c r="G15" i="39"/>
  <c r="D15" i="39"/>
  <c r="F15" i="39" s="1"/>
  <c r="G14" i="39"/>
  <c r="D14" i="39"/>
  <c r="G13" i="39"/>
  <c r="D13" i="39"/>
  <c r="G12" i="39"/>
  <c r="D12" i="39"/>
  <c r="F12" i="39" s="1"/>
  <c r="G11" i="39"/>
  <c r="D11" i="39"/>
  <c r="F11" i="39" s="1"/>
  <c r="F33" i="39"/>
  <c r="E33" i="39" s="1"/>
  <c r="G32" i="39"/>
  <c r="D32" i="39"/>
  <c r="F32" i="39" s="1"/>
  <c r="E32" i="39" s="1"/>
  <c r="F28" i="39"/>
  <c r="F25" i="39"/>
  <c r="F24" i="39"/>
  <c r="F13" i="39"/>
  <c r="B11" i="39"/>
  <c r="B12" i="39" s="1"/>
  <c r="B13" i="39" s="1"/>
  <c r="B14" i="39" s="1"/>
  <c r="B15" i="39" s="1"/>
  <c r="B16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F10" i="39"/>
  <c r="H10" i="39" s="1"/>
  <c r="F33" i="36"/>
  <c r="E33" i="36" s="1"/>
  <c r="H29" i="42" l="1"/>
  <c r="H30" i="42" s="1"/>
  <c r="XFD28" i="42"/>
  <c r="H10" i="41"/>
  <c r="H11" i="41" s="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F36" i="41"/>
  <c r="E10" i="41"/>
  <c r="E36" i="41" s="1"/>
  <c r="H16" i="40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E32" i="40"/>
  <c r="E12" i="39"/>
  <c r="E15" i="39"/>
  <c r="F22" i="39"/>
  <c r="E22" i="39" s="1"/>
  <c r="E24" i="39"/>
  <c r="E30" i="39"/>
  <c r="E20" i="39"/>
  <c r="E28" i="39"/>
  <c r="G34" i="39"/>
  <c r="E13" i="39"/>
  <c r="D34" i="39"/>
  <c r="E10" i="39"/>
  <c r="E18" i="39"/>
  <c r="E26" i="39"/>
  <c r="B30" i="39"/>
  <c r="B31" i="39" s="1"/>
  <c r="B32" i="39" s="1"/>
  <c r="H11" i="39"/>
  <c r="H12" i="39" s="1"/>
  <c r="E19" i="39"/>
  <c r="F14" i="39"/>
  <c r="E14" i="39" s="1"/>
  <c r="F23" i="39"/>
  <c r="E23" i="39" s="1"/>
  <c r="E16" i="39"/>
  <c r="E21" i="39"/>
  <c r="E25" i="39"/>
  <c r="E27" i="39"/>
  <c r="E29" i="39"/>
  <c r="E11" i="39"/>
  <c r="E31" i="39"/>
  <c r="G32" i="36"/>
  <c r="D32" i="36"/>
  <c r="F32" i="36" s="1"/>
  <c r="E32" i="36" s="1"/>
  <c r="G31" i="36"/>
  <c r="D31" i="36"/>
  <c r="F31" i="36" s="1"/>
  <c r="E31" i="36" s="1"/>
  <c r="G30" i="36"/>
  <c r="D30" i="36"/>
  <c r="F30" i="36" s="1"/>
  <c r="E30" i="36" s="1"/>
  <c r="G29" i="36"/>
  <c r="D29" i="36"/>
  <c r="G28" i="36"/>
  <c r="D28" i="36"/>
  <c r="G27" i="36"/>
  <c r="D27" i="36"/>
  <c r="G26" i="36"/>
  <c r="D26" i="36"/>
  <c r="F26" i="36" s="1"/>
  <c r="E26" i="36" s="1"/>
  <c r="G25" i="36"/>
  <c r="D25" i="36"/>
  <c r="F25" i="36" s="1"/>
  <c r="E25" i="36" s="1"/>
  <c r="G24" i="36"/>
  <c r="D24" i="36"/>
  <c r="F24" i="36" s="1"/>
  <c r="G23" i="36"/>
  <c r="D23" i="36"/>
  <c r="F23" i="36" s="1"/>
  <c r="E23" i="36" s="1"/>
  <c r="G22" i="36"/>
  <c r="D22" i="36"/>
  <c r="F22" i="36" s="1"/>
  <c r="G21" i="36"/>
  <c r="D21" i="36"/>
  <c r="G20" i="36"/>
  <c r="D20" i="36"/>
  <c r="F20" i="36" s="1"/>
  <c r="G19" i="36"/>
  <c r="D19" i="36"/>
  <c r="G18" i="36"/>
  <c r="D18" i="36"/>
  <c r="F18" i="36" s="1"/>
  <c r="G17" i="36"/>
  <c r="D17" i="36"/>
  <c r="F17" i="36" s="1"/>
  <c r="E17" i="36" s="1"/>
  <c r="G16" i="36"/>
  <c r="D16" i="36"/>
  <c r="F16" i="36" s="1"/>
  <c r="E16" i="36" s="1"/>
  <c r="G15" i="36"/>
  <c r="D15" i="36"/>
  <c r="G14" i="36"/>
  <c r="D14" i="36"/>
  <c r="F14" i="36" s="1"/>
  <c r="G12" i="36"/>
  <c r="D12" i="36"/>
  <c r="G11" i="36"/>
  <c r="D11" i="36"/>
  <c r="F11" i="36" s="1"/>
  <c r="G10" i="36"/>
  <c r="D10" i="36"/>
  <c r="F10" i="36" s="1"/>
  <c r="F29" i="36"/>
  <c r="E29" i="36" s="1"/>
  <c r="F27" i="36"/>
  <c r="F21" i="36"/>
  <c r="E21" i="36" s="1"/>
  <c r="F19" i="36"/>
  <c r="E19" i="36" s="1"/>
  <c r="F15" i="36"/>
  <c r="E15" i="36" s="1"/>
  <c r="F12" i="36"/>
  <c r="E12" i="36" s="1"/>
  <c r="B11" i="36"/>
  <c r="B12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H31" i="42" l="1"/>
  <c r="H32" i="42" s="1"/>
  <c r="H33" i="42" s="1"/>
  <c r="H34" i="42" s="1"/>
  <c r="H35" i="41"/>
  <c r="H36" i="41" s="1"/>
  <c r="XFD30" i="41"/>
  <c r="H31" i="40"/>
  <c r="J31" i="40" s="1"/>
  <c r="XFD29" i="40"/>
  <c r="H13" i="39"/>
  <c r="H14" i="39" s="1"/>
  <c r="H15" i="39" s="1"/>
  <c r="H16" i="39" s="1"/>
  <c r="H17" i="39" s="1"/>
  <c r="H18" i="39" s="1"/>
  <c r="H19" i="39" s="1"/>
  <c r="H20" i="39" s="1"/>
  <c r="H21" i="39" s="1"/>
  <c r="H22" i="39" s="1"/>
  <c r="H23" i="39" s="1"/>
  <c r="H24" i="39" s="1"/>
  <c r="H25" i="39" s="1"/>
  <c r="H26" i="39" s="1"/>
  <c r="H27" i="39" s="1"/>
  <c r="H28" i="39" s="1"/>
  <c r="H29" i="39" s="1"/>
  <c r="H30" i="39" s="1"/>
  <c r="H31" i="39" s="1"/>
  <c r="H32" i="39" s="1"/>
  <c r="H33" i="39" s="1"/>
  <c r="J33" i="39" s="1"/>
  <c r="E34" i="39"/>
  <c r="F34" i="39"/>
  <c r="B30" i="36"/>
  <c r="B31" i="36" s="1"/>
  <c r="B32" i="36" s="1"/>
  <c r="E11" i="36"/>
  <c r="E20" i="36"/>
  <c r="E14" i="36"/>
  <c r="E18" i="36"/>
  <c r="E22" i="36"/>
  <c r="F28" i="36"/>
  <c r="E28" i="36" s="1"/>
  <c r="G34" i="36"/>
  <c r="E24" i="36"/>
  <c r="H10" i="36"/>
  <c r="H11" i="36" s="1"/>
  <c r="H12" i="36" s="1"/>
  <c r="H13" i="36" s="1"/>
  <c r="H14" i="36" s="1"/>
  <c r="H15" i="36" s="1"/>
  <c r="H16" i="36" s="1"/>
  <c r="H17" i="36" s="1"/>
  <c r="H18" i="36" s="1"/>
  <c r="H19" i="36" s="1"/>
  <c r="H20" i="36" s="1"/>
  <c r="H21" i="36" s="1"/>
  <c r="H22" i="36" s="1"/>
  <c r="H23" i="36" s="1"/>
  <c r="H24" i="36" s="1"/>
  <c r="H25" i="36" s="1"/>
  <c r="H26" i="36" s="1"/>
  <c r="H27" i="36" s="1"/>
  <c r="H28" i="36" s="1"/>
  <c r="H29" i="36" s="1"/>
  <c r="H30" i="36" s="1"/>
  <c r="H31" i="36" s="1"/>
  <c r="H32" i="36" s="1"/>
  <c r="H33" i="36" s="1"/>
  <c r="E10" i="36"/>
  <c r="E27" i="36"/>
  <c r="D34" i="36"/>
  <c r="G28" i="35"/>
  <c r="D28" i="35"/>
  <c r="F28" i="35" s="1"/>
  <c r="E28" i="35" s="1"/>
  <c r="G27" i="35"/>
  <c r="D27" i="35"/>
  <c r="F27" i="35" s="1"/>
  <c r="G26" i="35"/>
  <c r="D26" i="35"/>
  <c r="F26" i="35" s="1"/>
  <c r="E26" i="35" s="1"/>
  <c r="G25" i="35"/>
  <c r="D25" i="35"/>
  <c r="D23" i="35"/>
  <c r="F23" i="35" s="1"/>
  <c r="G22" i="35"/>
  <c r="D22" i="35"/>
  <c r="F22" i="35" s="1"/>
  <c r="G21" i="35"/>
  <c r="D21" i="35"/>
  <c r="F21" i="35" s="1"/>
  <c r="E21" i="35" s="1"/>
  <c r="G20" i="35"/>
  <c r="D20" i="35"/>
  <c r="G19" i="35"/>
  <c r="D19" i="35"/>
  <c r="G18" i="35"/>
  <c r="D18" i="35"/>
  <c r="F18" i="35" s="1"/>
  <c r="G17" i="35"/>
  <c r="D17" i="35"/>
  <c r="F17" i="35" s="1"/>
  <c r="G16" i="35"/>
  <c r="D16" i="35"/>
  <c r="F16" i="35" s="1"/>
  <c r="G15" i="35"/>
  <c r="D15" i="35"/>
  <c r="F15" i="35" s="1"/>
  <c r="G14" i="35"/>
  <c r="D14" i="35"/>
  <c r="G13" i="35"/>
  <c r="D13" i="35"/>
  <c r="F13" i="35" s="1"/>
  <c r="E13" i="35" s="1"/>
  <c r="G12" i="35"/>
  <c r="D12" i="35"/>
  <c r="G11" i="35"/>
  <c r="D11" i="35"/>
  <c r="F11" i="35" s="1"/>
  <c r="G10" i="35"/>
  <c r="D10" i="35"/>
  <c r="F29" i="35"/>
  <c r="E29" i="35" s="1"/>
  <c r="F19" i="35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4" i="35" s="1"/>
  <c r="B25" i="35" s="1"/>
  <c r="B26" i="35" s="1"/>
  <c r="B27" i="35" s="1"/>
  <c r="B28" i="35" s="1"/>
  <c r="F28" i="33"/>
  <c r="E28" i="33" s="1"/>
  <c r="H32" i="40" l="1"/>
  <c r="H34" i="39"/>
  <c r="XFD29" i="39"/>
  <c r="F34" i="36"/>
  <c r="E34" i="36"/>
  <c r="G30" i="35"/>
  <c r="E11" i="35"/>
  <c r="E17" i="35"/>
  <c r="E19" i="35"/>
  <c r="F25" i="35"/>
  <c r="E25" i="35" s="1"/>
  <c r="E23" i="35"/>
  <c r="E15" i="35"/>
  <c r="D30" i="35"/>
  <c r="E16" i="35"/>
  <c r="E18" i="35"/>
  <c r="E22" i="35"/>
  <c r="F10" i="35"/>
  <c r="F12" i="35"/>
  <c r="E12" i="35" s="1"/>
  <c r="F14" i="35"/>
  <c r="E14" i="35" s="1"/>
  <c r="F20" i="35"/>
  <c r="E20" i="35" s="1"/>
  <c r="F24" i="35"/>
  <c r="E24" i="35" s="1"/>
  <c r="E27" i="35"/>
  <c r="F30" i="34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H34" i="36" l="1"/>
  <c r="XFD29" i="36"/>
  <c r="F30" i="35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E10" i="35"/>
  <c r="E30" i="35" s="1"/>
  <c r="E34" i="34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H30" i="35" l="1"/>
  <c r="K31" i="35" s="1"/>
  <c r="XFD28" i="35"/>
  <c r="E10" i="34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F27" i="33"/>
  <c r="E27" i="33" s="1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G29" i="32"/>
  <c r="D29" i="32"/>
  <c r="F29" i="32" s="1"/>
  <c r="G28" i="32"/>
  <c r="D28" i="32"/>
  <c r="G27" i="32"/>
  <c r="D27" i="32"/>
  <c r="F27" i="32" s="1"/>
  <c r="G26" i="32"/>
  <c r="D26" i="32"/>
  <c r="G25" i="32"/>
  <c r="D25" i="32"/>
  <c r="F25" i="32" s="1"/>
  <c r="G24" i="32"/>
  <c r="D24" i="32"/>
  <c r="F24" i="32" s="1"/>
  <c r="G23" i="32"/>
  <c r="D23" i="32"/>
  <c r="G22" i="32"/>
  <c r="D22" i="32"/>
  <c r="F22" i="32" s="1"/>
  <c r="G21" i="32"/>
  <c r="D21" i="32"/>
  <c r="G20" i="32"/>
  <c r="D20" i="32"/>
  <c r="F20" i="32" s="1"/>
  <c r="E20" i="32" s="1"/>
  <c r="G19" i="32"/>
  <c r="D19" i="32"/>
  <c r="G18" i="32"/>
  <c r="D18" i="32"/>
  <c r="F18" i="32" s="1"/>
  <c r="E18" i="32" s="1"/>
  <c r="G17" i="32"/>
  <c r="D17" i="32"/>
  <c r="F17" i="32" s="1"/>
  <c r="G16" i="32"/>
  <c r="D16" i="32"/>
  <c r="F16" i="32" s="1"/>
  <c r="E16" i="32" s="1"/>
  <c r="G15" i="32"/>
  <c r="D15" i="32"/>
  <c r="F15" i="32" s="1"/>
  <c r="G14" i="32"/>
  <c r="D14" i="32"/>
  <c r="F14" i="32" s="1"/>
  <c r="E14" i="32" s="1"/>
  <c r="G13" i="32"/>
  <c r="D13" i="32"/>
  <c r="F13" i="32" s="1"/>
  <c r="G12" i="32"/>
  <c r="D12" i="32"/>
  <c r="F12" i="32" s="1"/>
  <c r="E12" i="32" s="1"/>
  <c r="G11" i="32"/>
  <c r="D11" i="32"/>
  <c r="G10" i="32"/>
  <c r="D10" i="32"/>
  <c r="F10" i="32" s="1"/>
  <c r="F33" i="32"/>
  <c r="E33" i="32" s="1"/>
  <c r="F32" i="32"/>
  <c r="E32" i="32" s="1"/>
  <c r="F31" i="32"/>
  <c r="F30" i="32"/>
  <c r="F28" i="32"/>
  <c r="E28" i="32" s="1"/>
  <c r="F26" i="32"/>
  <c r="E26" i="32" s="1"/>
  <c r="F23" i="32"/>
  <c r="F21" i="32"/>
  <c r="F19" i="32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F21" i="31" s="1"/>
  <c r="E21" i="31" s="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F15" i="30" s="1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F23" i="29" s="1"/>
  <c r="E23" i="29" s="1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F13" i="29" s="1"/>
  <c r="E13" i="29" s="1"/>
  <c r="G12" i="29"/>
  <c r="D12" i="29"/>
  <c r="F12" i="29" s="1"/>
  <c r="E12" i="29" s="1"/>
  <c r="G11" i="29"/>
  <c r="D11" i="29"/>
  <c r="F11" i="29" s="1"/>
  <c r="G10" i="29"/>
  <c r="D10" i="29"/>
  <c r="F19" i="29"/>
  <c r="E19" i="29" s="1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F11" i="28" s="1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E11" i="27" s="1"/>
  <c r="F12" i="27"/>
  <c r="E12" i="27" s="1"/>
  <c r="F13" i="27"/>
  <c r="E13" i="27" s="1"/>
  <c r="F14" i="27"/>
  <c r="E14" i="27" s="1"/>
  <c r="F15" i="27"/>
  <c r="E15" i="27" s="1"/>
  <c r="F16" i="27"/>
  <c r="E16" i="27" s="1"/>
  <c r="F17" i="27"/>
  <c r="E17" i="27" s="1"/>
  <c r="F18" i="27"/>
  <c r="E18" i="27" s="1"/>
  <c r="F19" i="27"/>
  <c r="E19" i="27" s="1"/>
  <c r="F20" i="27"/>
  <c r="E20" i="27" s="1"/>
  <c r="F21" i="27"/>
  <c r="E21" i="27" s="1"/>
  <c r="F22" i="27"/>
  <c r="E22" i="27" s="1"/>
  <c r="F23" i="27"/>
  <c r="E23" i="27" s="1"/>
  <c r="F24" i="27"/>
  <c r="E24" i="27" s="1"/>
  <c r="F25" i="27"/>
  <c r="F26" i="27"/>
  <c r="E26" i="27" s="1"/>
  <c r="F27" i="27"/>
  <c r="E27" i="27" s="1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5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E24" i="32" l="1"/>
  <c r="D34" i="32"/>
  <c r="H29" i="34"/>
  <c r="H30" i="34" s="1"/>
  <c r="H31" i="34" s="1"/>
  <c r="H32" i="34" s="1"/>
  <c r="H33" i="34" s="1"/>
  <c r="H34" i="34" s="1"/>
  <c r="H35" i="34" s="1"/>
  <c r="E10" i="32"/>
  <c r="G34" i="32"/>
  <c r="E22" i="32"/>
  <c r="E30" i="32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F32" i="29"/>
  <c r="F34" i="31"/>
  <c r="E29" i="31"/>
  <c r="E34" i="31" s="1"/>
  <c r="E32" i="30"/>
  <c r="F32" i="30"/>
  <c r="E10" i="29"/>
  <c r="E32" i="29" s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H9" i="31" s="1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J33" i="31" l="1"/>
  <c r="H33" i="31"/>
  <c r="H34" i="31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3" i="20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H31" i="32" l="1"/>
  <c r="H32" i="32" s="1"/>
  <c r="H33" i="32" s="1"/>
  <c r="H34" i="32" s="1"/>
  <c r="J31" i="32"/>
  <c r="G35" i="19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4" i="17" l="1"/>
  <c r="H35" i="17" s="1"/>
  <c r="H36" i="17" s="1"/>
  <c r="H37" i="17" s="1"/>
  <c r="H38" i="17" s="1"/>
  <c r="H39" i="17" s="1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<sst xmlns="http://schemas.openxmlformats.org/spreadsheetml/2006/main" count="1170" uniqueCount="180">
  <si>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</si>
  <si>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</si>
  <si>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</si>
  <si>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</si>
  <si>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</si>
  <si>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</si>
  <si>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</si>
  <si>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</si>
  <si>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</si>
  <si>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</si>
  <si>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</si>
  <si>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</si>
  <si>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</si>
  <si>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</si>
  <si>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</si>
  <si>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</si>
  <si>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</si>
  <si>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</si>
  <si>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</si>
  <si>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</si>
  <si>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</si>
  <si>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</si>
  <si>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</si>
  <si>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</si>
  <si>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</si>
  <si>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</si>
  <si>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</si>
  <si>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</si>
  <si>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</si>
  <si>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</si>
  <si>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</si>
  <si>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</si>
  <si>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</si>
  <si>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</si>
  <si>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</si>
  <si>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</si>
  <si>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</si>
  <si>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</si>
  <si>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</si>
  <si>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</si>
  <si>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</si>
  <si>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</si>
  <si>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</si>
  <si>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</si>
  <si>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</si>
  <si>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</si>
  <si>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</si>
  <si>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</si>
  <si>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</si>
  <si>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</si>
  <si>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</si>
  <si>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</si>
  <si>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</si>
  <si>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</si>
  <si>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</si>
  <si>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</si>
  <si>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</si>
  <si>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</si>
  <si>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</si>
  <si>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</si>
  <si>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</si>
  <si>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</si>
  <si>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</si>
  <si>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</si>
  <si>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</si>
  <si>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</si>
  <si>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</si>
  <si>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</si>
  <si>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</si>
  <si>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</si>
  <si>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</si>
  <si>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</si>
  <si>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</si>
  <si>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</si>
  <si>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</si>
  <si>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</si>
  <si>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</si>
  <si>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</si>
  <si>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</si>
  <si>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</si>
  <si>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</si>
  <si>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</si>
  <si>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</si>
  <si>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</si>
  <si>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</si>
  <si>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</si>
  <si>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</si>
  <si>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</si>
  <si>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</si>
  <si>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</si>
  <si>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</si>
  <si>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</si>
  <si>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</si>
  <si>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</si>
  <si>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</si>
  <si>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</si>
  <si>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</si>
  <si>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</si>
  <si>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</si>
  <si>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</si>
  <si>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</si>
  <si>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</si>
  <si>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</si>
  <si>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</si>
  <si>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</si>
  <si>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</si>
  <si>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</si>
  <si>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</si>
  <si>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</si>
  <si>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</si>
  <si>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</si>
  <si>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</si>
  <si>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</si>
  <si>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</si>
  <si>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</si>
  <si>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</si>
  <si>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</si>
  <si>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</si>
  <si>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</si>
  <si>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</si>
  <si>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</si>
  <si>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</si>
  <si>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</si>
  <si>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</si>
  <si>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</si>
  <si>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</si>
  <si>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</si>
  <si>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</si>
  <si>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</si>
  <si>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</si>
  <si>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</si>
  <si>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</si>
  <si>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</si>
  <si>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</si>
  <si>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</si>
  <si>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</si>
  <si>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</si>
  <si>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</si>
  <si>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</si>
  <si>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</si>
  <si>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</si>
  <si>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</si>
  <si>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</si>
  <si>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</si>
  <si>
    <t>Período: 01/11/2025 a 30/11/2025</t>
  </si>
  <si>
    <t>COTA-PARTE REFERENTE AO MÊS DE NOVEMBRO DE 2025</t>
  </si>
  <si>
    <t>SALDO OUTUBRO/2025</t>
  </si>
  <si>
    <t>*Valor referente a cota parte apurada através de receita de anuidades em dívida ativa, recebido via depósito judicial e identificado no mês de Novembro/2025</t>
  </si>
  <si>
    <r>
      <t xml:space="preserve">R$ 21.017,82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R$ 17.617,60</t>
    </r>
  </si>
  <si>
    <t>Período: 01/12/2025 a 31/12/2025</t>
  </si>
  <si>
    <t>SALDO NOVEMBRO/2025</t>
  </si>
  <si>
    <t>*Valor referente a cota parte apurada através de receita de anuidades em dívida ativa, recebido via depósito judicial e identificado no mês de Dezembro/2025.</t>
  </si>
  <si>
    <t>* Valor Repasssado ao CFMV referente a Cota-Parte em aberto apurado em Outubro de 2025.</t>
  </si>
  <si>
    <r>
      <t xml:space="preserve">R$ 49.222,87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R$ 50.987,77</t>
    </r>
  </si>
  <si>
    <t>SALDO DEZEMBRO/2025:</t>
  </si>
  <si>
    <t>COTA-PARTE REFERENTE AO MÊS DE JANEIRO DE 2026</t>
  </si>
  <si>
    <t>Período: 01/01/2026 a 31/01/2026</t>
  </si>
  <si>
    <t>BB 74052-5</t>
  </si>
  <si>
    <r>
      <t xml:space="preserve">R$ 204.493,56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R$ 207.893,25</t>
    </r>
  </si>
  <si>
    <t>* Valor Repasssado ao CFMV referente a Cota-Parte em aberto apurado em Novembro de 2025.</t>
  </si>
  <si>
    <t>*Valor referente a cota parte apurada através de receita de anuidades em dívida ativa, recebido via depósito judicial e identificado no mês de Janeiro/2026.</t>
  </si>
  <si>
    <t>SALDO JANEIRO/2026</t>
  </si>
  <si>
    <t>Período: 01/02/2026 a 28/02/2026</t>
  </si>
  <si>
    <r>
      <t xml:space="preserve">R$ 179.179,39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R$ 180.604,23</t>
    </r>
  </si>
  <si>
    <t>* Valor Repasssado ao CFMV referente a Cota-Parte em aberto apurado em Dezembro de 2025.</t>
  </si>
  <si>
    <t>SALDO FEVEREIRO/2026</t>
  </si>
  <si>
    <t>* Valor Repasssado ao CFMV referente a Cota-Parte em aberto apurado em Janeiro de 2026.</t>
  </si>
  <si>
    <t>** Valor Repasssado ao CFMV referente a Cota-Parte em aberto apurado em Fevereiro de 2026.</t>
  </si>
  <si>
    <t>*** Valor referente a cota parte apurada através de receita de anuidades em dívida ativa, recebido via depósito judicial e identificado no mês de Março/2026.</t>
  </si>
  <si>
    <r>
      <t xml:space="preserve">R$ 84.052,24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R$ 83.677,69.</t>
    </r>
  </si>
  <si>
    <t>LIQ. 509</t>
  </si>
  <si>
    <t>Período: 01/03/2026 a 31/03/2026</t>
  </si>
  <si>
    <t>COTA-PARTE REFERENTE AO MÊS DE MARÇO DE 2026</t>
  </si>
  <si>
    <t>Período: 01/04/2026 a 30/04/2026</t>
  </si>
  <si>
    <t>SALDO MARÇO/2026</t>
  </si>
  <si>
    <t>*** Valor referente a cota parte apurada através de receita de anuidades em dívida ativa, recebido via depósito judicial e identificado no mês de Abril/2026.</t>
  </si>
  <si>
    <t>COTA-PARTE REFERENTE AO MÊS DE ABRIL DE 2026</t>
  </si>
  <si>
    <r>
      <t xml:space="preserve">R$ 44.636,38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R$ 44.207,95</t>
    </r>
  </si>
  <si>
    <t>LIQ. 682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</si>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</sst>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5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  <font>
      <b/>
      <i/>
      <u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2" fillId="3" borderId="1" xfId="0" applyFont="1" applyFill="1" applyBorder="1"/>
    <xf numFmtId="0" fontId="3" fillId="3" borderId="1" xfId="0" applyFont="1" applyFill="1" applyBorder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/>
    <xf numFmtId="0" fontId="2" fillId="0" borderId="0" xfId="0" applyFont="1"/>
    <xf numFmtId="4" fontId="2" fillId="2" borderId="1" xfId="0" applyNumberFormat="1" applyFont="1" applyFill="1" applyBorder="1"/>
    <xf numFmtId="166" fontId="2" fillId="2" borderId="1" xfId="0" applyNumberFormat="1" applyFont="1" applyFill="1" applyBorder="1"/>
    <xf numFmtId="164" fontId="5" fillId="0" borderId="18" xfId="0" applyNumberFormat="1" applyFont="1" applyBorder="1"/>
    <xf numFmtId="0" fontId="2" fillId="0" borderId="19" xfId="0" applyFont="1" applyBorder="1"/>
    <xf numFmtId="165" fontId="5" fillId="0" borderId="19" xfId="0" applyNumberFormat="1" applyFont="1" applyBorder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/>
    <xf numFmtId="165" fontId="2" fillId="0" borderId="13" xfId="0" applyNumberFormat="1" applyFont="1" applyBorder="1"/>
    <xf numFmtId="165" fontId="2" fillId="0" borderId="14" xfId="0" applyNumberFormat="1" applyFont="1" applyBorder="1"/>
    <xf numFmtId="4" fontId="2" fillId="0" borderId="13" xfId="0" applyNumberFormat="1" applyFont="1" applyBorder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/>
    <xf numFmtId="0" fontId="2" fillId="2" borderId="16" xfId="0" applyFont="1" applyFill="1" applyBorder="1"/>
    <xf numFmtId="0" fontId="2" fillId="2" borderId="17" xfId="0" applyFont="1" applyFill="1" applyBorder="1"/>
    <xf numFmtId="0" fontId="2" fillId="2" borderId="28" xfId="0" applyFont="1" applyFill="1" applyBorder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/>
    <xf numFmtId="14" fontId="2" fillId="0" borderId="18" xfId="0" applyNumberFormat="1" applyFont="1" applyBorder="1"/>
    <xf numFmtId="165" fontId="2" fillId="0" borderId="19" xfId="0" applyNumberFormat="1" applyFont="1" applyBorder="1"/>
    <xf numFmtId="4" fontId="2" fillId="2" borderId="28" xfId="0" applyNumberFormat="1" applyFont="1" applyFill="1" applyBorder="1"/>
    <xf numFmtId="4" fontId="13" fillId="0" borderId="11" xfId="0" applyNumberFormat="1" applyFont="1" applyBorder="1"/>
    <xf numFmtId="14" fontId="13" fillId="0" borderId="12" xfId="0" applyNumberFormat="1" applyFont="1" applyBorder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/>
    <xf numFmtId="165" fontId="13" fillId="0" borderId="13" xfId="0" applyNumberFormat="1" applyFont="1" applyBorder="1"/>
    <xf numFmtId="0" fontId="2" fillId="2" borderId="35" xfId="0" applyFont="1" applyFill="1" applyBorder="1"/>
    <xf numFmtId="0" fontId="2" fillId="2" borderId="29" xfId="0" applyFont="1" applyFill="1" applyBorder="1"/>
    <xf numFmtId="0" fontId="2" fillId="2" borderId="36" xfId="0" applyFont="1" applyFill="1" applyBorder="1"/>
    <xf numFmtId="14" fontId="14" fillId="0" borderId="12" xfId="0" applyNumberFormat="1" applyFont="1" applyBorder="1"/>
    <xf numFmtId="164" fontId="14" fillId="0" borderId="10" xfId="0" applyNumberFormat="1" applyFont="1" applyBorder="1" applyAlignment="1">
      <alignment horizontal="left"/>
    </xf>
    <xf numFmtId="165" fontId="14" fillId="0" borderId="13" xfId="0" applyNumberFormat="1" applyFont="1" applyBorder="1"/>
    <xf numFmtId="4" fontId="14" fillId="0" borderId="11" xfId="0" applyNumberFormat="1" applyFont="1" applyBorder="1"/>
    <xf numFmtId="0" fontId="5" fillId="2" borderId="28" xfId="0" applyFont="1" applyFill="1" applyBorder="1" applyAlignment="1">
      <alignment horizontal="right"/>
    </xf>
    <xf numFmtId="0" fontId="13" fillId="2" borderId="28" xfId="0" applyFont="1" applyFill="1" applyBorder="1" applyAlignment="1">
      <alignment horizontal="right"/>
    </xf>
    <xf numFmtId="0" fontId="8" fillId="2" borderId="33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28" xfId="0" applyFont="1" applyBorder="1"/>
    <xf numFmtId="0" fontId="6" fillId="0" borderId="34" xfId="0" applyFont="1" applyBorder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/>
    </xf>
    <xf numFmtId="165" fontId="14" fillId="0" borderId="19" xfId="0" applyNumberFormat="1" applyFont="1" applyBorder="1"/>
    <xf numFmtId="4" fontId="2" fillId="2" borderId="28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28</v>
      </c>
      <c r="C9" s="61"/>
      <c r="D9" s="61"/>
      <c r="E9" s="61"/>
      <c r="F9" s="61"/>
      <c r="G9" s="61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821927.95000000019</v>
      </c>
      <c r="E39" s="20">
        <f>SUM(E10:E38)</f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74" t="s">
        <v>10</v>
      </c>
      <c r="C40" s="75"/>
      <c r="D40" s="75"/>
      <c r="E40" s="75"/>
      <c r="F40" s="75"/>
      <c r="G40" s="75"/>
      <c r="H40" s="7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68" t="s">
        <v>16</v>
      </c>
      <c r="C41" s="69"/>
      <c r="D41" s="69"/>
      <c r="E41" s="69"/>
      <c r="F41" s="69"/>
      <c r="G41" s="69"/>
      <c r="H41" s="70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77"/>
      <c r="C42" s="69"/>
      <c r="D42" s="69"/>
      <c r="E42" s="69"/>
      <c r="F42" s="69"/>
      <c r="G42" s="69"/>
      <c r="H42" s="70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77"/>
      <c r="C43" s="69"/>
      <c r="D43" s="69"/>
      <c r="E43" s="69"/>
      <c r="F43" s="69"/>
      <c r="G43" s="69"/>
      <c r="H43" s="70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68"/>
      <c r="C44" s="69"/>
      <c r="D44" s="69"/>
      <c r="E44" s="69"/>
      <c r="F44" s="69"/>
      <c r="G44" s="69"/>
      <c r="H44" s="70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71"/>
      <c r="C45" s="72"/>
      <c r="D45" s="72"/>
      <c r="E45" s="72"/>
      <c r="F45" s="72"/>
      <c r="G45" s="72"/>
      <c r="H45" s="73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6"/>
  <sheetViews>
    <sheetView topLeftCell="A16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71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73</v>
      </c>
      <c r="C9" s="61"/>
      <c r="D9" s="61"/>
      <c r="E9" s="61"/>
      <c r="F9" s="61"/>
      <c r="G9" s="61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 t="shared" ref="H29:H35" si="4"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>F30</f>
        <v>654.29999999999995</v>
      </c>
      <c r="H30" s="12">
        <f t="shared" si="4"/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>F31</f>
        <v>2512.89</v>
      </c>
      <c r="H31" s="12">
        <f t="shared" si="4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>F32</f>
        <v>8098.06</v>
      </c>
      <c r="H32" s="12">
        <f t="shared" si="4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 t="shared" si="4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 t="shared" si="4"/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>D35*25%</f>
        <v>0</v>
      </c>
      <c r="G35" s="23">
        <f t="shared" si="0"/>
        <v>0</v>
      </c>
      <c r="H35" s="12">
        <f t="shared" si="4"/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4" t="s">
        <v>10</v>
      </c>
      <c r="C37" s="75"/>
      <c r="D37" s="75"/>
      <c r="E37" s="75"/>
      <c r="F37" s="75"/>
      <c r="G37" s="75"/>
      <c r="H37" s="7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8" t="s">
        <v>74</v>
      </c>
      <c r="C38" s="69"/>
      <c r="D38" s="69"/>
      <c r="E38" s="69"/>
      <c r="F38" s="69"/>
      <c r="G38" s="69"/>
      <c r="H38" s="70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77" t="s">
        <v>75</v>
      </c>
      <c r="C39" s="66"/>
      <c r="D39" s="66"/>
      <c r="E39" s="66"/>
      <c r="F39" s="66"/>
      <c r="G39" s="66"/>
      <c r="H39" s="70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77" t="s">
        <v>76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77"/>
      <c r="C41" s="78"/>
      <c r="D41" s="78"/>
      <c r="E41" s="78"/>
      <c r="F41" s="78"/>
      <c r="G41" s="78"/>
      <c r="H41" s="7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71"/>
      <c r="C42" s="72"/>
      <c r="D42" s="72"/>
      <c r="E42" s="72"/>
      <c r="F42" s="72"/>
      <c r="G42" s="72"/>
      <c r="H42" s="73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78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79</v>
      </c>
      <c r="C9" s="61"/>
      <c r="D9" s="61"/>
      <c r="E9" s="61"/>
      <c r="F9" s="61"/>
      <c r="G9" s="61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 t="shared" ref="H29:H35" si="4"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>F30</f>
        <v>954.05</v>
      </c>
      <c r="H30" s="12">
        <f t="shared" si="4"/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>F31</f>
        <v>0</v>
      </c>
      <c r="H31" s="12">
        <f t="shared" si="4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>F32</f>
        <v>0</v>
      </c>
      <c r="H32" s="12">
        <f t="shared" si="4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 t="shared" si="4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 t="shared" si="4"/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>D35*25%</f>
        <v>0</v>
      </c>
      <c r="G35" s="23">
        <f t="shared" si="0"/>
        <v>0</v>
      </c>
      <c r="H35" s="12">
        <f t="shared" si="4"/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81" t="s">
        <v>10</v>
      </c>
      <c r="C37" s="82"/>
      <c r="D37" s="82"/>
      <c r="E37" s="82"/>
      <c r="F37" s="82"/>
      <c r="G37" s="82"/>
      <c r="H37" s="8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8" t="s">
        <v>80</v>
      </c>
      <c r="C38" s="69"/>
      <c r="D38" s="69"/>
      <c r="E38" s="69"/>
      <c r="F38" s="69"/>
      <c r="G38" s="69"/>
      <c r="H38" s="70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77" t="s">
        <v>81</v>
      </c>
      <c r="C39" s="66"/>
      <c r="D39" s="66"/>
      <c r="E39" s="66"/>
      <c r="F39" s="66"/>
      <c r="G39" s="66"/>
      <c r="H39" s="70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77" t="s">
        <v>82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77"/>
      <c r="C41" s="78"/>
      <c r="D41" s="78"/>
      <c r="E41" s="78"/>
      <c r="F41" s="78"/>
      <c r="G41" s="78"/>
      <c r="H41" s="7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71"/>
      <c r="C42" s="72"/>
      <c r="D42" s="72"/>
      <c r="E42" s="72"/>
      <c r="F42" s="72"/>
      <c r="G42" s="72"/>
      <c r="H42" s="73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5"/>
  <sheetViews>
    <sheetView zoomScale="110" zoomScaleNormal="110" workbookViewId="0">
      <selection activeCell="M18" sqref="M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88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84</v>
      </c>
      <c r="C9" s="61"/>
      <c r="D9" s="61"/>
      <c r="E9" s="61"/>
      <c r="F9" s="61"/>
      <c r="G9" s="61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 t="shared" ref="H29:H34" si="4"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>F30</f>
        <v>3036.39</v>
      </c>
      <c r="H30" s="12">
        <f t="shared" si="4"/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>F31</f>
        <v>11092.15</v>
      </c>
      <c r="H31" s="12">
        <f t="shared" si="4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 t="shared" si="4"/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 t="shared" si="4"/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>D34*25%</f>
        <v>0</v>
      </c>
      <c r="G34" s="23">
        <f t="shared" si="0"/>
        <v>0</v>
      </c>
      <c r="H34" s="12">
        <f t="shared" si="4"/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1" t="s">
        <v>10</v>
      </c>
      <c r="C36" s="82"/>
      <c r="D36" s="82"/>
      <c r="E36" s="82"/>
      <c r="F36" s="82"/>
      <c r="G36" s="82"/>
      <c r="H36" s="8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8" t="s">
        <v>85</v>
      </c>
      <c r="C37" s="69"/>
      <c r="D37" s="69"/>
      <c r="E37" s="69"/>
      <c r="F37" s="69"/>
      <c r="G37" s="69"/>
      <c r="H37" s="70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77" t="s">
        <v>86</v>
      </c>
      <c r="C38" s="66"/>
      <c r="D38" s="66"/>
      <c r="E38" s="66"/>
      <c r="F38" s="66"/>
      <c r="G38" s="66"/>
      <c r="H38" s="70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77" t="s">
        <v>87</v>
      </c>
      <c r="C39" s="69"/>
      <c r="D39" s="69"/>
      <c r="E39" s="69"/>
      <c r="F39" s="69"/>
      <c r="G39" s="69"/>
      <c r="H39" s="70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77"/>
      <c r="C40" s="78"/>
      <c r="D40" s="78"/>
      <c r="E40" s="78"/>
      <c r="F40" s="78"/>
      <c r="G40" s="78"/>
      <c r="H40" s="79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71"/>
      <c r="C41" s="72"/>
      <c r="D41" s="72"/>
      <c r="E41" s="72"/>
      <c r="F41" s="72"/>
      <c r="G41" s="72"/>
      <c r="H41" s="73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999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90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28</v>
      </c>
      <c r="C9" s="61"/>
      <c r="D9" s="61"/>
      <c r="E9" s="61"/>
      <c r="F9" s="61"/>
      <c r="G9" s="6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>F30</f>
        <v>23935.09</v>
      </c>
      <c r="H30" s="12">
        <f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>F31</f>
        <v>48407.98</v>
      </c>
      <c r="H31" s="12">
        <f>H30+F31-G31</f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1" t="s">
        <v>10</v>
      </c>
      <c r="C33" s="82"/>
      <c r="D33" s="82"/>
      <c r="E33" s="82"/>
      <c r="F33" s="82"/>
      <c r="G33" s="82"/>
      <c r="H33" s="8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68" t="s">
        <v>91</v>
      </c>
      <c r="C34" s="69"/>
      <c r="D34" s="69"/>
      <c r="E34" s="69"/>
      <c r="F34" s="69"/>
      <c r="G34" s="69"/>
      <c r="H34" s="7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71"/>
      <c r="C35" s="72"/>
      <c r="D35" s="72"/>
      <c r="E35" s="72"/>
      <c r="F35" s="72"/>
      <c r="G35" s="72"/>
      <c r="H35" s="73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1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97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93</v>
      </c>
      <c r="C9" s="61"/>
      <c r="D9" s="61"/>
      <c r="E9" s="61"/>
      <c r="F9" s="61"/>
      <c r="G9" s="6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1" t="s">
        <v>10</v>
      </c>
      <c r="C33" s="82"/>
      <c r="D33" s="82"/>
      <c r="E33" s="82"/>
      <c r="F33" s="82"/>
      <c r="G33" s="82"/>
      <c r="H33" s="8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68" t="s">
        <v>94</v>
      </c>
      <c r="C34" s="69"/>
      <c r="D34" s="69"/>
      <c r="E34" s="69"/>
      <c r="F34" s="69"/>
      <c r="G34" s="69"/>
      <c r="H34" s="7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77" t="s">
        <v>95</v>
      </c>
      <c r="C35" s="78"/>
      <c r="D35" s="78"/>
      <c r="E35" s="78"/>
      <c r="F35" s="78"/>
      <c r="G35" s="78"/>
      <c r="H35" s="79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77" t="s">
        <v>96</v>
      </c>
      <c r="C36" s="69"/>
      <c r="D36" s="69"/>
      <c r="E36" s="69"/>
      <c r="F36" s="69"/>
      <c r="G36" s="69"/>
      <c r="H36" s="70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71"/>
      <c r="C37" s="72"/>
      <c r="D37" s="72"/>
      <c r="E37" s="72"/>
      <c r="F37" s="72"/>
      <c r="G37" s="72"/>
      <c r="H37" s="73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98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100</v>
      </c>
      <c r="C9" s="61"/>
      <c r="D9" s="61"/>
      <c r="E9" s="61"/>
      <c r="F9" s="61"/>
      <c r="G9" s="61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13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81" t="s">
        <v>10</v>
      </c>
      <c r="C32" s="82"/>
      <c r="D32" s="82"/>
      <c r="E32" s="82"/>
      <c r="F32" s="82"/>
      <c r="G32" s="82"/>
      <c r="H32" s="83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8" t="s">
        <v>102</v>
      </c>
      <c r="C33" s="69"/>
      <c r="D33" s="69"/>
      <c r="E33" s="69"/>
      <c r="F33" s="69"/>
      <c r="G33" s="69"/>
      <c r="H33" s="70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77" t="s">
        <v>101</v>
      </c>
      <c r="C34" s="55"/>
      <c r="D34" s="55"/>
      <c r="E34" s="55"/>
      <c r="F34" s="55"/>
      <c r="G34" s="55"/>
      <c r="H34" s="84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77"/>
      <c r="C35" s="55"/>
      <c r="D35" s="55"/>
      <c r="E35" s="55"/>
      <c r="F35" s="55"/>
      <c r="G35" s="55"/>
      <c r="H35" s="8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71"/>
      <c r="C36" s="72"/>
      <c r="D36" s="72"/>
      <c r="E36" s="72"/>
      <c r="F36" s="72"/>
      <c r="G36" s="72"/>
      <c r="H36" s="73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2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104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105</v>
      </c>
      <c r="C9" s="61"/>
      <c r="D9" s="61"/>
      <c r="E9" s="61"/>
      <c r="F9" s="61"/>
      <c r="G9" s="61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13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1" t="s">
        <v>10</v>
      </c>
      <c r="C33" s="82"/>
      <c r="D33" s="82"/>
      <c r="E33" s="82"/>
      <c r="F33" s="82"/>
      <c r="G33" s="82"/>
      <c r="H33" s="8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68" t="s">
        <v>106</v>
      </c>
      <c r="C34" s="69"/>
      <c r="D34" s="69"/>
      <c r="E34" s="69"/>
      <c r="F34" s="69"/>
      <c r="G34" s="69"/>
      <c r="H34" s="7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68" t="s">
        <v>107</v>
      </c>
      <c r="C35" s="85"/>
      <c r="D35" s="85"/>
      <c r="E35" s="85"/>
      <c r="F35" s="85"/>
      <c r="G35" s="85"/>
      <c r="H35" s="8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77" t="s">
        <v>108</v>
      </c>
      <c r="C36" s="55"/>
      <c r="D36" s="55"/>
      <c r="E36" s="55"/>
      <c r="F36" s="55"/>
      <c r="G36" s="55"/>
      <c r="H36" s="8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77"/>
      <c r="C37" s="55"/>
      <c r="D37" s="55"/>
      <c r="E37" s="55"/>
      <c r="F37" s="55"/>
      <c r="G37" s="55"/>
      <c r="H37" s="8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71"/>
      <c r="C38" s="72"/>
      <c r="D38" s="72"/>
      <c r="E38" s="72"/>
      <c r="F38" s="72"/>
      <c r="G38" s="72"/>
      <c r="H38" s="73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112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110</v>
      </c>
      <c r="C9" s="61"/>
      <c r="D9" s="61"/>
      <c r="E9" s="61"/>
      <c r="F9" s="61"/>
      <c r="G9" s="61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13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1" t="s">
        <v>10</v>
      </c>
      <c r="C33" s="82"/>
      <c r="D33" s="82"/>
      <c r="E33" s="82"/>
      <c r="F33" s="82"/>
      <c r="G33" s="82"/>
      <c r="H33" s="8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68" t="s">
        <v>113</v>
      </c>
      <c r="C34" s="69"/>
      <c r="D34" s="69"/>
      <c r="E34" s="69"/>
      <c r="F34" s="69"/>
      <c r="G34" s="69"/>
      <c r="H34" s="7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68" t="s">
        <v>111</v>
      </c>
      <c r="C35" s="85"/>
      <c r="D35" s="85"/>
      <c r="E35" s="85"/>
      <c r="F35" s="85"/>
      <c r="G35" s="85"/>
      <c r="H35" s="8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77"/>
      <c r="C36" s="55"/>
      <c r="D36" s="55"/>
      <c r="E36" s="55"/>
      <c r="F36" s="55"/>
      <c r="G36" s="55"/>
      <c r="H36" s="8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77"/>
      <c r="C37" s="55"/>
      <c r="D37" s="55"/>
      <c r="E37" s="55"/>
      <c r="F37" s="55"/>
      <c r="G37" s="55"/>
      <c r="H37" s="8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71"/>
      <c r="C38" s="72"/>
      <c r="D38" s="72"/>
      <c r="E38" s="72"/>
      <c r="F38" s="72"/>
      <c r="G38" s="72"/>
      <c r="H38" s="73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114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116</v>
      </c>
      <c r="C9" s="61"/>
      <c r="D9" s="61"/>
      <c r="E9" s="61"/>
      <c r="F9" s="61"/>
      <c r="G9" s="61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13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1" t="s">
        <v>10</v>
      </c>
      <c r="C33" s="82"/>
      <c r="D33" s="82"/>
      <c r="E33" s="82"/>
      <c r="F33" s="82"/>
      <c r="G33" s="82"/>
      <c r="H33" s="8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68" t="s">
        <v>119</v>
      </c>
      <c r="C34" s="69"/>
      <c r="D34" s="69"/>
      <c r="E34" s="69"/>
      <c r="F34" s="69"/>
      <c r="G34" s="69"/>
      <c r="H34" s="7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68" t="s">
        <v>117</v>
      </c>
      <c r="C35" s="85"/>
      <c r="D35" s="85"/>
      <c r="E35" s="85"/>
      <c r="F35" s="85"/>
      <c r="G35" s="85"/>
      <c r="H35" s="8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77" t="s">
        <v>118</v>
      </c>
      <c r="C36" s="55"/>
      <c r="D36" s="55"/>
      <c r="E36" s="55"/>
      <c r="F36" s="55"/>
      <c r="G36" s="55"/>
      <c r="H36" s="8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77"/>
      <c r="C37" s="55"/>
      <c r="D37" s="55"/>
      <c r="E37" s="55"/>
      <c r="F37" s="55"/>
      <c r="G37" s="55"/>
      <c r="H37" s="8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71"/>
      <c r="C38" s="72"/>
      <c r="D38" s="72"/>
      <c r="E38" s="72"/>
      <c r="F38" s="72"/>
      <c r="G38" s="72"/>
      <c r="H38" s="73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124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116</v>
      </c>
      <c r="C9" s="61"/>
      <c r="D9" s="61"/>
      <c r="E9" s="61"/>
      <c r="F9" s="61"/>
      <c r="G9" s="61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39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1" t="s">
        <v>10</v>
      </c>
      <c r="C35" s="82"/>
      <c r="D35" s="82"/>
      <c r="E35" s="82"/>
      <c r="F35" s="82"/>
      <c r="G35" s="82"/>
      <c r="H35" s="83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8" t="s">
        <v>122</v>
      </c>
      <c r="C36" s="69"/>
      <c r="D36" s="69"/>
      <c r="E36" s="69"/>
      <c r="F36" s="69"/>
      <c r="G36" s="69"/>
      <c r="H36" s="7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68" t="s">
        <v>120</v>
      </c>
      <c r="C37" s="85"/>
      <c r="D37" s="85"/>
      <c r="E37" s="85"/>
      <c r="F37" s="85"/>
      <c r="G37" s="85"/>
      <c r="H37" s="8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77" t="s">
        <v>121</v>
      </c>
      <c r="C38" s="55"/>
      <c r="D38" s="55"/>
      <c r="E38" s="55"/>
      <c r="F38" s="55"/>
      <c r="G38" s="55"/>
      <c r="H38" s="8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7"/>
      <c r="C39" s="55"/>
      <c r="D39" s="55"/>
      <c r="E39" s="55"/>
      <c r="F39" s="55"/>
      <c r="G39" s="55"/>
      <c r="H39" s="8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71"/>
      <c r="C40" s="72"/>
      <c r="D40" s="72"/>
      <c r="E40" s="72"/>
      <c r="F40" s="72"/>
      <c r="G40" s="72"/>
      <c r="H40" s="73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7"/>
  <sheetViews>
    <sheetView topLeftCell="A7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18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27</v>
      </c>
      <c r="C9" s="61"/>
      <c r="D9" s="61"/>
      <c r="E9" s="61"/>
      <c r="F9" s="61"/>
      <c r="G9" s="61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74" t="s">
        <v>10</v>
      </c>
      <c r="C38" s="75"/>
      <c r="D38" s="75"/>
      <c r="E38" s="75"/>
      <c r="F38" s="75"/>
      <c r="G38" s="75"/>
      <c r="H38" s="76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68" t="s">
        <v>21</v>
      </c>
      <c r="C39" s="69"/>
      <c r="D39" s="69"/>
      <c r="E39" s="69"/>
      <c r="F39" s="69"/>
      <c r="G39" s="69"/>
      <c r="H39" s="70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77" t="s">
        <v>22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77" t="s">
        <v>23</v>
      </c>
      <c r="C41" s="69"/>
      <c r="D41" s="69"/>
      <c r="E41" s="69"/>
      <c r="F41" s="69"/>
      <c r="G41" s="69"/>
      <c r="H41" s="70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8"/>
      <c r="C42" s="69"/>
      <c r="D42" s="69"/>
      <c r="E42" s="69"/>
      <c r="F42" s="69"/>
      <c r="G42" s="69"/>
      <c r="H42" s="70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71"/>
      <c r="C43" s="72"/>
      <c r="D43" s="72"/>
      <c r="E43" s="72"/>
      <c r="F43" s="72"/>
      <c r="G43" s="72"/>
      <c r="H43" s="73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4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130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126</v>
      </c>
      <c r="C9" s="61"/>
      <c r="D9" s="61"/>
      <c r="E9" s="61"/>
      <c r="F9" s="61"/>
      <c r="G9" s="61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39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39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1" t="s">
        <v>10</v>
      </c>
      <c r="C35" s="82"/>
      <c r="D35" s="82"/>
      <c r="E35" s="82"/>
      <c r="F35" s="82"/>
      <c r="G35" s="82"/>
      <c r="H35" s="83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8" t="s">
        <v>127</v>
      </c>
      <c r="C36" s="69"/>
      <c r="D36" s="69"/>
      <c r="E36" s="69"/>
      <c r="F36" s="69"/>
      <c r="G36" s="69"/>
      <c r="H36" s="7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68" t="s">
        <v>141</v>
      </c>
      <c r="C37" s="85"/>
      <c r="D37" s="85"/>
      <c r="E37" s="85"/>
      <c r="F37" s="85"/>
      <c r="G37" s="85"/>
      <c r="H37" s="8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77" t="s">
        <v>129</v>
      </c>
      <c r="C38" s="55"/>
      <c r="D38" s="55"/>
      <c r="E38" s="55"/>
      <c r="F38" s="55"/>
      <c r="G38" s="55"/>
      <c r="H38" s="8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7"/>
      <c r="C39" s="55"/>
      <c r="D39" s="55"/>
      <c r="E39" s="55"/>
      <c r="F39" s="55"/>
      <c r="G39" s="55"/>
      <c r="H39" s="8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71"/>
      <c r="C40" s="72"/>
      <c r="D40" s="72"/>
      <c r="E40" s="72"/>
      <c r="F40" s="72"/>
      <c r="G40" s="72"/>
      <c r="H40" s="73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FD1004"/>
  <sheetViews>
    <sheetView topLeftCell="A8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132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133</v>
      </c>
      <c r="C9" s="61"/>
      <c r="D9" s="61"/>
      <c r="E9" s="61"/>
      <c r="F9" s="61"/>
      <c r="G9" s="61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1">
        <v>45924</v>
      </c>
      <c r="C28" s="42" t="s">
        <v>11</v>
      </c>
      <c r="D28" s="43">
        <v>11341.88</v>
      </c>
      <c r="E28" s="44">
        <f>D28-F28</f>
        <v>8506.41</v>
      </c>
      <c r="F28" s="44">
        <f t="shared" si="3"/>
        <v>2835.47</v>
      </c>
      <c r="G28" s="44">
        <v>2836.18</v>
      </c>
      <c r="H28" s="40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39"/>
      <c r="J32" s="39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1" t="s">
        <v>10</v>
      </c>
      <c r="C35" s="82"/>
      <c r="D35" s="82"/>
      <c r="E35" s="82"/>
      <c r="F35" s="82"/>
      <c r="G35" s="82"/>
      <c r="H35" s="83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8" t="s">
        <v>135</v>
      </c>
      <c r="C36" s="69"/>
      <c r="D36" s="69"/>
      <c r="E36" s="69"/>
      <c r="F36" s="69"/>
      <c r="G36" s="69"/>
      <c r="H36" s="7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68" t="s">
        <v>128</v>
      </c>
      <c r="C37" s="85"/>
      <c r="D37" s="85"/>
      <c r="E37" s="85"/>
      <c r="F37" s="85"/>
      <c r="G37" s="85"/>
      <c r="H37" s="8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77" t="s">
        <v>136</v>
      </c>
      <c r="C38" s="55"/>
      <c r="D38" s="55"/>
      <c r="E38" s="55"/>
      <c r="F38" s="55"/>
      <c r="G38" s="55"/>
      <c r="H38" s="8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77"/>
      <c r="C39" s="55"/>
      <c r="D39" s="55"/>
      <c r="E39" s="55"/>
      <c r="F39" s="55"/>
      <c r="G39" s="55"/>
      <c r="H39" s="8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71"/>
      <c r="C40" s="72"/>
      <c r="D40" s="72"/>
      <c r="E40" s="72"/>
      <c r="F40" s="72"/>
      <c r="G40" s="72"/>
      <c r="H40" s="73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FD1006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137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138</v>
      </c>
      <c r="C9" s="61"/>
      <c r="D9" s="61"/>
      <c r="E9" s="61"/>
      <c r="F9" s="61"/>
      <c r="G9" s="61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>H28+F29-G29</f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1">
        <v>45958</v>
      </c>
      <c r="C30" s="42" t="s">
        <v>11</v>
      </c>
      <c r="D30" s="43"/>
      <c r="E30" s="44">
        <f>D30-F30</f>
        <v>0</v>
      </c>
      <c r="F30" s="44">
        <f>+D30*0.25</f>
        <v>0</v>
      </c>
      <c r="G30" s="44">
        <v>3263.7</v>
      </c>
      <c r="H30" s="12">
        <f>H29+F30-G30</f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39"/>
      <c r="J32" s="39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39"/>
      <c r="J33" s="39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2" t="s">
        <v>10</v>
      </c>
      <c r="C36" s="63"/>
      <c r="D36" s="63"/>
      <c r="E36" s="63"/>
      <c r="F36" s="63"/>
      <c r="G36" s="63"/>
      <c r="H36" s="64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5" t="s">
        <v>143</v>
      </c>
      <c r="C37" s="66"/>
      <c r="D37" s="66"/>
      <c r="E37" s="66"/>
      <c r="F37" s="66"/>
      <c r="G37" s="66"/>
      <c r="H37" s="67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65" t="s">
        <v>134</v>
      </c>
      <c r="C38" s="85"/>
      <c r="D38" s="85"/>
      <c r="E38" s="85"/>
      <c r="F38" s="85"/>
      <c r="G38" s="85"/>
      <c r="H38" s="90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4" t="s">
        <v>139</v>
      </c>
      <c r="C39" s="55"/>
      <c r="D39" s="55"/>
      <c r="E39" s="55"/>
      <c r="F39" s="55"/>
      <c r="G39" s="55"/>
      <c r="H39" s="5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54"/>
      <c r="C40" s="55"/>
      <c r="D40" s="55"/>
      <c r="E40" s="55"/>
      <c r="F40" s="55"/>
      <c r="G40" s="55"/>
      <c r="H40" s="56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7" t="s">
        <v>142</v>
      </c>
      <c r="C41" s="88"/>
      <c r="D41" s="88"/>
      <c r="E41" s="88"/>
      <c r="F41" s="88"/>
      <c r="G41" s="88"/>
      <c r="H41" s="89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87"/>
      <c r="C42" s="88"/>
      <c r="D42" s="88"/>
      <c r="E42" s="88"/>
      <c r="F42" s="88"/>
      <c r="G42" s="88"/>
      <c r="H42" s="89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45"/>
      <c r="C43" s="46"/>
      <c r="D43" s="46"/>
      <c r="E43" s="46"/>
      <c r="F43" s="46"/>
      <c r="G43" s="46"/>
      <c r="H43" s="4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39:H40"/>
    <mergeCell ref="B41:H42"/>
    <mergeCell ref="B7:H7"/>
    <mergeCell ref="B9:G9"/>
    <mergeCell ref="B36:H36"/>
    <mergeCell ref="B37:H37"/>
    <mergeCell ref="B38:H38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FD999"/>
  <sheetViews>
    <sheetView topLeftCell="A7" zoomScale="110" zoomScaleNormal="110" workbookViewId="0">
      <selection activeCell="B34" sqref="B34:H35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145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146</v>
      </c>
      <c r="C9" s="61"/>
      <c r="D9" s="61"/>
      <c r="E9" s="61"/>
      <c r="F9" s="61"/>
      <c r="G9" s="61"/>
      <c r="H9" s="12">
        <v>1765.72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45964</v>
      </c>
      <c r="C10" s="13" t="s">
        <v>8</v>
      </c>
      <c r="D10" s="23">
        <f>3187.27+449</f>
        <v>3636.27</v>
      </c>
      <c r="E10" s="23">
        <f>D10-F10</f>
        <v>2727.2024999999999</v>
      </c>
      <c r="F10" s="23">
        <f>+D10*0.25</f>
        <v>909.0675</v>
      </c>
      <c r="G10" s="23">
        <f>796.8+112.25</f>
        <v>909.05</v>
      </c>
      <c r="H10" s="12">
        <f>H9+F10-G10</f>
        <v>1765.7375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7" si="0">B10+(MOD(B10,7)=6)*2+1</f>
        <v>45965</v>
      </c>
      <c r="C11" s="13" t="s">
        <v>8</v>
      </c>
      <c r="D11" s="23">
        <f>3446.76+246</f>
        <v>3692.76</v>
      </c>
      <c r="E11" s="23">
        <f t="shared" ref="E11:E29" si="1">D11-F11</f>
        <v>2769.57</v>
      </c>
      <c r="F11" s="23">
        <f>+D11*0.25</f>
        <v>923.19</v>
      </c>
      <c r="G11" s="23">
        <f>861.67+61.5</f>
        <v>923.17</v>
      </c>
      <c r="H11" s="12">
        <f t="shared" ref="H11:H29" si="2">H10+F11-G11</f>
        <v>1765.7574999999997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45966</v>
      </c>
      <c r="C12" s="13" t="s">
        <v>8</v>
      </c>
      <c r="D12" s="23">
        <f>3288.66+577</f>
        <v>3865.66</v>
      </c>
      <c r="E12" s="23">
        <f t="shared" si="1"/>
        <v>2899.2449999999999</v>
      </c>
      <c r="F12" s="23">
        <f t="shared" ref="F12:F29" si="3">+D12*0.25</f>
        <v>966.41499999999996</v>
      </c>
      <c r="G12" s="23">
        <f>822.14+144.25</f>
        <v>966.39</v>
      </c>
      <c r="H12" s="12">
        <f t="shared" si="2"/>
        <v>1765.7824999999998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45967</v>
      </c>
      <c r="C13" s="13" t="s">
        <v>8</v>
      </c>
      <c r="D13" s="23">
        <f>6636.9+489</f>
        <v>7125.9</v>
      </c>
      <c r="E13" s="23">
        <f>D13-F13</f>
        <v>5344.4249999999993</v>
      </c>
      <c r="F13" s="23">
        <f>+D13*0.25</f>
        <v>1781.4749999999999</v>
      </c>
      <c r="G13" s="23">
        <f>1659.19+122.25</f>
        <v>1781.44</v>
      </c>
      <c r="H13" s="12">
        <f t="shared" si="2"/>
        <v>1765.8174999999997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45968</v>
      </c>
      <c r="C14" s="13" t="s">
        <v>8</v>
      </c>
      <c r="D14" s="23">
        <f>2045.03+286</f>
        <v>2331.0299999999997</v>
      </c>
      <c r="E14" s="23">
        <f t="shared" si="1"/>
        <v>1748.2724999999998</v>
      </c>
      <c r="F14" s="23">
        <f t="shared" si="3"/>
        <v>582.75749999999994</v>
      </c>
      <c r="G14" s="23">
        <f>511.23+71.5</f>
        <v>582.73</v>
      </c>
      <c r="H14" s="12">
        <f t="shared" si="2"/>
        <v>1765.8449999999998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45971</v>
      </c>
      <c r="C15" s="13" t="s">
        <v>8</v>
      </c>
      <c r="D15" s="23">
        <f>2212.44+668.11</f>
        <v>2880.55</v>
      </c>
      <c r="E15" s="23">
        <f t="shared" si="1"/>
        <v>2160.4125000000004</v>
      </c>
      <c r="F15" s="23">
        <f t="shared" si="3"/>
        <v>720.13750000000005</v>
      </c>
      <c r="G15" s="23">
        <f>553.1+167.02</f>
        <v>720.12</v>
      </c>
      <c r="H15" s="12">
        <f t="shared" si="2"/>
        <v>1765.8625000000002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45972</v>
      </c>
      <c r="C16" s="13" t="s">
        <v>8</v>
      </c>
      <c r="D16" s="23">
        <f>7939.99+163</f>
        <v>8102.99</v>
      </c>
      <c r="E16" s="23">
        <f t="shared" si="1"/>
        <v>6077.2425000000003</v>
      </c>
      <c r="F16" s="23">
        <f t="shared" si="3"/>
        <v>2025.7474999999999</v>
      </c>
      <c r="G16" s="23">
        <f>1984.94+40.75</f>
        <v>2025.69</v>
      </c>
      <c r="H16" s="12">
        <f t="shared" si="2"/>
        <v>1765.92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45973</v>
      </c>
      <c r="C17" s="13" t="s">
        <v>8</v>
      </c>
      <c r="D17" s="23">
        <f>3980.06+1296.39</f>
        <v>5276.45</v>
      </c>
      <c r="E17" s="23">
        <f t="shared" si="1"/>
        <v>3957.3374999999996</v>
      </c>
      <c r="F17" s="23">
        <f t="shared" si="3"/>
        <v>1319.1125</v>
      </c>
      <c r="G17" s="23">
        <f>994.97+324.09</f>
        <v>1319.06</v>
      </c>
      <c r="H17" s="12">
        <f t="shared" si="2"/>
        <v>1765.9725000000003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45974</v>
      </c>
      <c r="C18" s="13" t="s">
        <v>8</v>
      </c>
      <c r="D18" s="23">
        <f>3279.09+326</f>
        <v>3605.09</v>
      </c>
      <c r="E18" s="23">
        <f t="shared" si="1"/>
        <v>2703.8175000000001</v>
      </c>
      <c r="F18" s="23">
        <f t="shared" si="3"/>
        <v>901.27250000000004</v>
      </c>
      <c r="G18" s="23">
        <f>819.75+81.5</f>
        <v>901.25</v>
      </c>
      <c r="H18" s="12">
        <f t="shared" si="2"/>
        <v>1765.9950000000003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45975</v>
      </c>
      <c r="C19" s="13" t="s">
        <v>8</v>
      </c>
      <c r="D19" s="23">
        <f>4810.23+492</f>
        <v>5302.23</v>
      </c>
      <c r="E19" s="23">
        <f t="shared" si="1"/>
        <v>3976.6724999999997</v>
      </c>
      <c r="F19" s="23">
        <f t="shared" si="3"/>
        <v>1325.5574999999999</v>
      </c>
      <c r="G19" s="23">
        <f>1202.54+123</f>
        <v>1325.54</v>
      </c>
      <c r="H19" s="12">
        <f t="shared" si="2"/>
        <v>1766.0125000000003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45978</v>
      </c>
      <c r="C20" s="13" t="s">
        <v>8</v>
      </c>
      <c r="D20" s="23">
        <f>6983.75+163</f>
        <v>7146.75</v>
      </c>
      <c r="E20" s="23">
        <f t="shared" si="1"/>
        <v>5360.0625</v>
      </c>
      <c r="F20" s="23">
        <f t="shared" si="3"/>
        <v>1786.6875</v>
      </c>
      <c r="G20" s="23">
        <f>1745.9+40.75</f>
        <v>1786.65</v>
      </c>
      <c r="H20" s="12">
        <f t="shared" si="2"/>
        <v>1766.0500000000002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45979</v>
      </c>
      <c r="C21" s="13" t="s">
        <v>8</v>
      </c>
      <c r="D21" s="23">
        <f>3679.9+492</f>
        <v>4171.8999999999996</v>
      </c>
      <c r="E21" s="23">
        <f t="shared" si="1"/>
        <v>3128.9249999999997</v>
      </c>
      <c r="F21" s="23">
        <f t="shared" si="3"/>
        <v>1042.9749999999999</v>
      </c>
      <c r="G21" s="23">
        <f>919.96+123</f>
        <v>1042.96</v>
      </c>
      <c r="H21" s="12">
        <f>H20+F21-G21</f>
        <v>1766.0650000000001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45980</v>
      </c>
      <c r="C22" s="13" t="s">
        <v>8</v>
      </c>
      <c r="D22" s="23">
        <f>1192.06+655</f>
        <v>1847.06</v>
      </c>
      <c r="E22" s="23">
        <f t="shared" si="1"/>
        <v>1385.2950000000001</v>
      </c>
      <c r="F22" s="23">
        <f t="shared" si="3"/>
        <v>461.76499999999999</v>
      </c>
      <c r="G22" s="23">
        <f>298.01+163.75</f>
        <v>461.76</v>
      </c>
      <c r="H22" s="12">
        <f t="shared" si="2"/>
        <v>1766.07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v>45982</v>
      </c>
      <c r="C23" s="13" t="s">
        <v>8</v>
      </c>
      <c r="D23" s="23">
        <f>1944.52</f>
        <v>1944.52</v>
      </c>
      <c r="E23" s="23">
        <f t="shared" si="1"/>
        <v>1458.3899999999999</v>
      </c>
      <c r="F23" s="23">
        <f t="shared" si="3"/>
        <v>486.13</v>
      </c>
      <c r="G23" s="23">
        <v>486.12</v>
      </c>
      <c r="H23" s="12">
        <f t="shared" si="2"/>
        <v>1766.08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45985</v>
      </c>
      <c r="C24" s="13" t="s">
        <v>8</v>
      </c>
      <c r="D24" s="23">
        <v>1441.6</v>
      </c>
      <c r="E24" s="23">
        <f t="shared" si="1"/>
        <v>1081.1999999999998</v>
      </c>
      <c r="F24" s="23">
        <f t="shared" si="3"/>
        <v>360.4</v>
      </c>
      <c r="G24" s="23">
        <v>360.39</v>
      </c>
      <c r="H24" s="12">
        <f>H23+F24-G24</f>
        <v>1766.0900000000001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45986</v>
      </c>
      <c r="C25" s="13" t="s">
        <v>8</v>
      </c>
      <c r="D25" s="23">
        <f>771.98+652</f>
        <v>1423.98</v>
      </c>
      <c r="E25" s="23">
        <f t="shared" si="1"/>
        <v>1067.9850000000001</v>
      </c>
      <c r="F25" s="23">
        <f t="shared" si="3"/>
        <v>355.995</v>
      </c>
      <c r="G25" s="23">
        <f>192.99+163</f>
        <v>355.99</v>
      </c>
      <c r="H25" s="12">
        <f>H24+F25-G25</f>
        <v>1766.095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45987</v>
      </c>
      <c r="C26" s="13" t="s">
        <v>8</v>
      </c>
      <c r="D26" s="23">
        <f>892.94+1267</f>
        <v>2159.94</v>
      </c>
      <c r="E26" s="23">
        <f t="shared" si="1"/>
        <v>1619.9549999999999</v>
      </c>
      <c r="F26" s="23">
        <f t="shared" si="3"/>
        <v>539.98500000000001</v>
      </c>
      <c r="G26" s="23">
        <f>223.23+316.75</f>
        <v>539.98</v>
      </c>
      <c r="H26" s="12">
        <f t="shared" si="2"/>
        <v>1766.1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45988</v>
      </c>
      <c r="C27" s="13" t="s">
        <v>8</v>
      </c>
      <c r="D27" s="23">
        <f>1859.17+326</f>
        <v>2185.17</v>
      </c>
      <c r="E27" s="23">
        <f>D27-F27</f>
        <v>1638.8775000000001</v>
      </c>
      <c r="F27" s="23">
        <f t="shared" si="3"/>
        <v>546.29250000000002</v>
      </c>
      <c r="G27" s="23">
        <f>464.77+81.5</f>
        <v>546.27</v>
      </c>
      <c r="H27" s="12">
        <f t="shared" si="2"/>
        <v>1766.1224999999999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45989</v>
      </c>
      <c r="C28" s="13" t="s">
        <v>8</v>
      </c>
      <c r="D28" s="23">
        <f>2169.26+163</f>
        <v>2332.2600000000002</v>
      </c>
      <c r="E28" s="23">
        <f t="shared" si="1"/>
        <v>1749.1950000000002</v>
      </c>
      <c r="F28" s="23">
        <f t="shared" si="3"/>
        <v>583.06500000000005</v>
      </c>
      <c r="G28" s="23">
        <f>542.29+40.75</f>
        <v>583.04</v>
      </c>
      <c r="H28" s="12">
        <f t="shared" si="2"/>
        <v>1766.1475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53002.707500000004</v>
      </c>
    </row>
    <row r="29" spans="1:26 16384:16384" x14ac:dyDescent="0.25">
      <c r="A29" s="32" t="s">
        <v>12</v>
      </c>
      <c r="B29" s="22">
        <v>45989</v>
      </c>
      <c r="C29" s="13" t="s">
        <v>8</v>
      </c>
      <c r="D29" s="38">
        <v>13599.15</v>
      </c>
      <c r="E29" s="23">
        <f t="shared" si="1"/>
        <v>10199.362499999999</v>
      </c>
      <c r="F29" s="23">
        <f t="shared" si="3"/>
        <v>3399.7874999999999</v>
      </c>
      <c r="G29" s="23">
        <v>0</v>
      </c>
      <c r="H29" s="12">
        <f t="shared" si="2"/>
        <v>5165.9349999999995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thickBot="1" x14ac:dyDescent="0.3">
      <c r="A30" s="2"/>
      <c r="B30" s="18" t="s">
        <v>9</v>
      </c>
      <c r="C30" s="19"/>
      <c r="D30" s="20">
        <f>SUM(D10:D29)</f>
        <v>84071.25999999998</v>
      </c>
      <c r="E30" s="20">
        <f>SUM(E10:E29)</f>
        <v>63053.444999999992</v>
      </c>
      <c r="F30" s="20">
        <f>SUM(F10:F29)</f>
        <v>21017.814999999995</v>
      </c>
      <c r="G30" s="20">
        <f>SUM(G10:G29)</f>
        <v>17617.600000000002</v>
      </c>
      <c r="H30" s="12">
        <f>H29</f>
        <v>5165.9349999999995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 16384:16384" ht="15.75" customHeight="1" x14ac:dyDescent="0.25">
      <c r="A31" s="29"/>
      <c r="B31" s="62" t="s">
        <v>10</v>
      </c>
      <c r="C31" s="63"/>
      <c r="D31" s="63"/>
      <c r="E31" s="63"/>
      <c r="F31" s="63"/>
      <c r="G31" s="63"/>
      <c r="H31" s="64"/>
      <c r="I31" s="30"/>
      <c r="J31" s="2"/>
      <c r="K31" s="16">
        <f>H30-H9</f>
        <v>3400.2149999999992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 16384:16384" ht="15.75" customHeight="1" x14ac:dyDescent="0.25">
      <c r="A32" s="29"/>
      <c r="B32" s="65" t="s">
        <v>148</v>
      </c>
      <c r="C32" s="66"/>
      <c r="D32" s="66"/>
      <c r="E32" s="66"/>
      <c r="F32" s="66"/>
      <c r="G32" s="66"/>
      <c r="H32" s="67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31"/>
      <c r="B33" s="65"/>
      <c r="C33" s="85"/>
      <c r="D33" s="85"/>
      <c r="E33" s="85"/>
      <c r="F33" s="85"/>
      <c r="G33" s="85"/>
      <c r="H33" s="90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31"/>
      <c r="B34" s="54" t="s">
        <v>147</v>
      </c>
      <c r="C34" s="55"/>
      <c r="D34" s="55"/>
      <c r="E34" s="55"/>
      <c r="F34" s="55"/>
      <c r="G34" s="55"/>
      <c r="H34" s="56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4"/>
      <c r="C35" s="55"/>
      <c r="D35" s="55"/>
      <c r="E35" s="55"/>
      <c r="F35" s="55"/>
      <c r="G35" s="55"/>
      <c r="H35" s="5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45"/>
      <c r="C36" s="46"/>
      <c r="D36" s="46"/>
      <c r="E36" s="46"/>
      <c r="F36" s="46"/>
      <c r="G36" s="46"/>
      <c r="H36" s="4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6">
    <mergeCell ref="B34:H35"/>
    <mergeCell ref="B7:H7"/>
    <mergeCell ref="B9:G9"/>
    <mergeCell ref="B31:H31"/>
    <mergeCell ref="B32:H32"/>
    <mergeCell ref="B33:H3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FD1003"/>
  <sheetViews>
    <sheetView topLeftCell="A7" zoomScale="110" zoomScaleNormal="110" workbookViewId="0">
      <selection activeCell="B38" sqref="B38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145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150</v>
      </c>
      <c r="C9" s="61"/>
      <c r="D9" s="61"/>
      <c r="E9" s="61"/>
      <c r="F9" s="61"/>
      <c r="G9" s="61"/>
      <c r="H9" s="12">
        <v>5165.9399999999996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45992</v>
      </c>
      <c r="C10" s="13" t="s">
        <v>8</v>
      </c>
      <c r="D10" s="23">
        <f>5383.9+625.34</f>
        <v>6009.24</v>
      </c>
      <c r="E10" s="23">
        <f>D10-F10</f>
        <v>4506.93</v>
      </c>
      <c r="F10" s="23">
        <f>+D10*0.25</f>
        <v>1502.31</v>
      </c>
      <c r="G10" s="23">
        <f>1345.92+156.33</f>
        <v>1502.25</v>
      </c>
      <c r="H10" s="12">
        <f>H9+F10-G10</f>
        <v>5166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45993</v>
      </c>
      <c r="C11" s="13" t="s">
        <v>8</v>
      </c>
      <c r="D11" s="23">
        <f>19544.01+221.66</f>
        <v>19765.669999999998</v>
      </c>
      <c r="E11" s="23">
        <f t="shared" ref="E11:E30" si="1">D11-F11</f>
        <v>14824.252499999999</v>
      </c>
      <c r="F11" s="23">
        <f>+D11*0.25</f>
        <v>4941.4174999999996</v>
      </c>
      <c r="G11" s="23">
        <f>4885.85+55.41</f>
        <v>4941.26</v>
      </c>
      <c r="H11" s="12">
        <f t="shared" ref="H11:H33" si="2">H10+F11-G11</f>
        <v>5166.1574999999993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45994</v>
      </c>
      <c r="C12" s="13" t="s">
        <v>8</v>
      </c>
      <c r="D12" s="23">
        <f>2510.89+775</f>
        <v>3285.89</v>
      </c>
      <c r="E12" s="23">
        <f t="shared" si="1"/>
        <v>2464.4175</v>
      </c>
      <c r="F12" s="23">
        <f t="shared" ref="F12:F30" si="3">+D12*0.25</f>
        <v>821.47249999999997</v>
      </c>
      <c r="G12" s="23">
        <f>627.69+193.75</f>
        <v>821.44</v>
      </c>
      <c r="H12" s="12">
        <f t="shared" si="2"/>
        <v>5166.1899999999987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 t="s">
        <v>12</v>
      </c>
      <c r="B13" s="48">
        <v>45994</v>
      </c>
      <c r="C13" s="49" t="s">
        <v>11</v>
      </c>
      <c r="D13" s="50">
        <v>0</v>
      </c>
      <c r="E13" s="50">
        <v>0</v>
      </c>
      <c r="F13" s="50">
        <v>0</v>
      </c>
      <c r="G13" s="50">
        <v>1765.72</v>
      </c>
      <c r="H13" s="51">
        <f>H12+F13-G13</f>
        <v>3400.4699999999984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45995</v>
      </c>
      <c r="C14" s="13" t="s">
        <v>8</v>
      </c>
      <c r="D14" s="23">
        <f>2009.77+873.47</f>
        <v>2883.24</v>
      </c>
      <c r="E14" s="23">
        <f>D14-F14</f>
        <v>2162.4299999999998</v>
      </c>
      <c r="F14" s="23">
        <f>+D14*0.25</f>
        <v>720.81</v>
      </c>
      <c r="G14" s="23">
        <f>502.42+218.36</f>
        <v>720.78</v>
      </c>
      <c r="H14" s="12">
        <f t="shared" si="2"/>
        <v>3400.4999999999991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45996</v>
      </c>
      <c r="C15" s="13" t="s">
        <v>8</v>
      </c>
      <c r="D15" s="23">
        <f>1959.14+163</f>
        <v>2122.1400000000003</v>
      </c>
      <c r="E15" s="23">
        <f t="shared" si="1"/>
        <v>1591.6050000000002</v>
      </c>
      <c r="F15" s="23">
        <f t="shared" si="3"/>
        <v>530.53500000000008</v>
      </c>
      <c r="G15" s="23">
        <f>489.76+40.75</f>
        <v>530.51</v>
      </c>
      <c r="H15" s="12">
        <f t="shared" si="2"/>
        <v>3400.5249999999987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45999</v>
      </c>
      <c r="C16" s="13" t="s">
        <v>8</v>
      </c>
      <c r="D16" s="23">
        <f>2460.01+1147</f>
        <v>3607.01</v>
      </c>
      <c r="E16" s="23">
        <f t="shared" si="1"/>
        <v>2705.2575000000002</v>
      </c>
      <c r="F16" s="23">
        <f t="shared" si="3"/>
        <v>901.75250000000005</v>
      </c>
      <c r="G16" s="23">
        <f>614.97+286.75</f>
        <v>901.72</v>
      </c>
      <c r="H16" s="12">
        <f t="shared" si="2"/>
        <v>3400.5574999999981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46000</v>
      </c>
      <c r="C17" s="13" t="s">
        <v>8</v>
      </c>
      <c r="D17" s="23">
        <f>6690.16</f>
        <v>6690.16</v>
      </c>
      <c r="E17" s="23">
        <f t="shared" si="1"/>
        <v>5017.62</v>
      </c>
      <c r="F17" s="23">
        <f t="shared" si="3"/>
        <v>1672.54</v>
      </c>
      <c r="G17" s="23">
        <f>1672.48</f>
        <v>1672.48</v>
      </c>
      <c r="H17" s="12">
        <f t="shared" si="2"/>
        <v>3400.617499999998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46001</v>
      </c>
      <c r="C18" s="13" t="s">
        <v>8</v>
      </c>
      <c r="D18" s="23">
        <f>3586.16</f>
        <v>3586.16</v>
      </c>
      <c r="E18" s="23">
        <f t="shared" si="1"/>
        <v>2689.62</v>
      </c>
      <c r="F18" s="23">
        <f t="shared" si="3"/>
        <v>896.54</v>
      </c>
      <c r="G18" s="23">
        <f>896.49</f>
        <v>896.49</v>
      </c>
      <c r="H18" s="12">
        <f t="shared" si="2"/>
        <v>3400.6674999999977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46002</v>
      </c>
      <c r="C19" s="13" t="s">
        <v>8</v>
      </c>
      <c r="D19" s="23">
        <f>8453.98+489</f>
        <v>8942.98</v>
      </c>
      <c r="E19" s="23">
        <f t="shared" si="1"/>
        <v>6707.2349999999997</v>
      </c>
      <c r="F19" s="23">
        <f t="shared" si="3"/>
        <v>2235.7449999999999</v>
      </c>
      <c r="G19" s="23">
        <f>2113.42+122.25</f>
        <v>2235.67</v>
      </c>
      <c r="H19" s="12">
        <f t="shared" si="2"/>
        <v>3400.7424999999976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46003</v>
      </c>
      <c r="C20" s="13" t="s">
        <v>8</v>
      </c>
      <c r="D20" s="23">
        <f>1164.29+4964.2+163</f>
        <v>6291.49</v>
      </c>
      <c r="E20" s="23">
        <f t="shared" si="1"/>
        <v>4718.6175000000003</v>
      </c>
      <c r="F20" s="23">
        <f t="shared" si="3"/>
        <v>1572.8724999999999</v>
      </c>
      <c r="G20" s="23">
        <f>291.06+1281.8</f>
        <v>1572.86</v>
      </c>
      <c r="H20" s="12">
        <f t="shared" si="2"/>
        <v>3400.7549999999983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46006</v>
      </c>
      <c r="C21" s="13" t="s">
        <v>8</v>
      </c>
      <c r="D21" s="23">
        <f>5972.67+6071.8</f>
        <v>12044.470000000001</v>
      </c>
      <c r="E21" s="23">
        <f t="shared" si="1"/>
        <v>9033.3525000000009</v>
      </c>
      <c r="F21" s="23">
        <f t="shared" si="3"/>
        <v>3011.1175000000003</v>
      </c>
      <c r="G21" s="23">
        <f>1493.13+1517.95</f>
        <v>3011.08</v>
      </c>
      <c r="H21" s="12">
        <f t="shared" si="2"/>
        <v>3400.7924999999987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46007</v>
      </c>
      <c r="C22" s="13" t="s">
        <v>8</v>
      </c>
      <c r="D22" s="23">
        <f>11715.73+1979.2</f>
        <v>13694.93</v>
      </c>
      <c r="E22" s="23">
        <f t="shared" si="1"/>
        <v>10271.1975</v>
      </c>
      <c r="F22" s="23">
        <f t="shared" si="3"/>
        <v>3423.7325000000001</v>
      </c>
      <c r="G22" s="23">
        <f>2928.9+494.8</f>
        <v>3423.7000000000003</v>
      </c>
      <c r="H22" s="12">
        <f t="shared" si="2"/>
        <v>3400.8249999999985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46008</v>
      </c>
      <c r="C23" s="13" t="s">
        <v>8</v>
      </c>
      <c r="D23" s="23">
        <f>9497.82+3437.2</f>
        <v>12935.02</v>
      </c>
      <c r="E23" s="23">
        <f t="shared" si="1"/>
        <v>9701.2649999999994</v>
      </c>
      <c r="F23" s="23">
        <f t="shared" si="3"/>
        <v>3233.7550000000001</v>
      </c>
      <c r="G23" s="23">
        <f>2374.41+859.3</f>
        <v>3233.71</v>
      </c>
      <c r="H23" s="12">
        <f t="shared" si="2"/>
        <v>3400.8699999999981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46009</v>
      </c>
      <c r="C24" s="13" t="s">
        <v>8</v>
      </c>
      <c r="D24" s="23">
        <f>3706.62+4090.24</f>
        <v>7796.86</v>
      </c>
      <c r="E24" s="23">
        <f t="shared" si="1"/>
        <v>5847.6449999999995</v>
      </c>
      <c r="F24" s="23">
        <f t="shared" si="3"/>
        <v>1949.2149999999999</v>
      </c>
      <c r="G24" s="23">
        <f>926.64+1022.56</f>
        <v>1949.1999999999998</v>
      </c>
      <c r="H24" s="12">
        <f t="shared" si="2"/>
        <v>3400.8849999999984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46010</v>
      </c>
      <c r="C25" s="13" t="s">
        <v>8</v>
      </c>
      <c r="D25" s="23">
        <f>7833.87+1896.78</f>
        <v>9730.65</v>
      </c>
      <c r="E25" s="23">
        <f t="shared" si="1"/>
        <v>7297.9874999999993</v>
      </c>
      <c r="F25" s="23">
        <f t="shared" si="3"/>
        <v>2432.6624999999999</v>
      </c>
      <c r="G25" s="23">
        <f>1958.44+474.19</f>
        <v>2432.63</v>
      </c>
      <c r="H25" s="12">
        <f t="shared" si="2"/>
        <v>3400.9174999999987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46013</v>
      </c>
      <c r="C26" s="13" t="s">
        <v>8</v>
      </c>
      <c r="D26" s="23">
        <f>4009.4+5300</f>
        <v>9309.4</v>
      </c>
      <c r="E26" s="23">
        <f t="shared" si="1"/>
        <v>6982.0499999999993</v>
      </c>
      <c r="F26" s="23">
        <f t="shared" si="3"/>
        <v>2327.35</v>
      </c>
      <c r="G26" s="23">
        <f>1002.35+1325</f>
        <v>2327.35</v>
      </c>
      <c r="H26" s="12">
        <f t="shared" si="2"/>
        <v>3400.9174999999982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46014</v>
      </c>
      <c r="C27" s="13" t="s">
        <v>8</v>
      </c>
      <c r="D27" s="23">
        <f>17655.51+8506.6</f>
        <v>26162.11</v>
      </c>
      <c r="E27" s="23">
        <f t="shared" si="1"/>
        <v>19621.5825</v>
      </c>
      <c r="F27" s="23">
        <f t="shared" si="3"/>
        <v>6540.5275000000001</v>
      </c>
      <c r="G27" s="23">
        <f>4413.82+2126.65</f>
        <v>6540.4699999999993</v>
      </c>
      <c r="H27" s="12">
        <f t="shared" si="2"/>
        <v>3400.9749999999985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46015</v>
      </c>
      <c r="C28" s="13" t="s">
        <v>8</v>
      </c>
      <c r="D28" s="23">
        <f>13933.49+5049.6</f>
        <v>18983.09</v>
      </c>
      <c r="E28" s="23">
        <f>D28-F28</f>
        <v>14237.317500000001</v>
      </c>
      <c r="F28" s="23">
        <f t="shared" si="3"/>
        <v>4745.7725</v>
      </c>
      <c r="G28" s="23">
        <f>3483.36+1262.4</f>
        <v>4745.76</v>
      </c>
      <c r="H28" s="12">
        <f t="shared" si="2"/>
        <v>3400.9874999999984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B28+(MOD(B28,7)=6)*2+2</f>
        <v>46017</v>
      </c>
      <c r="C29" s="13" t="s">
        <v>8</v>
      </c>
      <c r="D29" s="23">
        <f>1402.44+7098.8</f>
        <v>8501.24</v>
      </c>
      <c r="E29" s="23">
        <f t="shared" si="1"/>
        <v>6375.93</v>
      </c>
      <c r="F29" s="23">
        <f t="shared" si="3"/>
        <v>2125.31</v>
      </c>
      <c r="G29" s="23">
        <f>350.59+1774.7</f>
        <v>2125.29</v>
      </c>
      <c r="H29" s="12">
        <f t="shared" si="2"/>
        <v>3401.0074999999988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68545.777499999997</v>
      </c>
    </row>
    <row r="30" spans="1:26 16384:16384" x14ac:dyDescent="0.25">
      <c r="A30" s="32"/>
      <c r="B30" s="22">
        <f t="shared" si="0"/>
        <v>46020</v>
      </c>
      <c r="C30" s="13" t="s">
        <v>8</v>
      </c>
      <c r="D30" s="38">
        <f>5161.73+9388</f>
        <v>14549.73</v>
      </c>
      <c r="E30" s="23">
        <f t="shared" si="1"/>
        <v>10912.297500000001</v>
      </c>
      <c r="F30" s="23">
        <f t="shared" si="3"/>
        <v>3637.4324999999999</v>
      </c>
      <c r="G30" s="23">
        <f>1290.4+2347</f>
        <v>3637.4</v>
      </c>
      <c r="H30" s="12">
        <f t="shared" si="2"/>
        <v>3401.0399999999986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46021</v>
      </c>
      <c r="C31" s="13" t="s">
        <v>8</v>
      </c>
      <c r="D31" s="38">
        <f>12937.17+5303.76</f>
        <v>18240.93</v>
      </c>
      <c r="E31" s="23">
        <f>D31-F31</f>
        <v>13680.6975</v>
      </c>
      <c r="F31" s="23">
        <f>+D31*0.25</f>
        <v>4560.2325000000001</v>
      </c>
      <c r="G31" s="38">
        <f>3234.21+1325.94</f>
        <v>4560.1499999999996</v>
      </c>
      <c r="H31" s="12">
        <f t="shared" si="2"/>
        <v>3401.1224999999995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46022</v>
      </c>
      <c r="C32" s="13" t="s">
        <v>8</v>
      </c>
      <c r="D32" s="38">
        <f>22175.18+1291.8</f>
        <v>23466.98</v>
      </c>
      <c r="E32" s="23">
        <f>D32-F32</f>
        <v>17600.235000000001</v>
      </c>
      <c r="F32" s="23">
        <f>+D32*0.25</f>
        <v>5866.7449999999999</v>
      </c>
      <c r="G32" s="38">
        <f>5543.6+322.95</f>
        <v>5866.55</v>
      </c>
      <c r="H32" s="12">
        <f t="shared" si="2"/>
        <v>3401.3175000000001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12</v>
      </c>
      <c r="B33" s="22">
        <v>46022</v>
      </c>
      <c r="C33" s="13" t="s">
        <v>8</v>
      </c>
      <c r="D33" s="38">
        <v>5697.54</v>
      </c>
      <c r="E33" s="23">
        <f>D33-F33</f>
        <v>4273.1549999999997</v>
      </c>
      <c r="F33" s="23">
        <f>+D33*0.25</f>
        <v>1424.385</v>
      </c>
      <c r="G33" s="38">
        <v>0</v>
      </c>
      <c r="H33" s="12">
        <f t="shared" si="2"/>
        <v>4825.7025000000003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196891.47999999998</v>
      </c>
      <c r="E34" s="20">
        <f>SUM(E10:E30)</f>
        <v>147668.61000000004</v>
      </c>
      <c r="F34" s="20">
        <f>SUM(F10:F30)</f>
        <v>49222.869999999995</v>
      </c>
      <c r="G34" s="20">
        <f>SUM(G10:G30)</f>
        <v>50987.770000000011</v>
      </c>
      <c r="H34" s="12">
        <f>H33</f>
        <v>4825.7025000000003</v>
      </c>
      <c r="I34" s="16"/>
      <c r="J34" s="2"/>
      <c r="K34" s="2"/>
      <c r="L34" s="2"/>
      <c r="M34" s="2">
        <v>1425.48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2" t="s">
        <v>10</v>
      </c>
      <c r="C35" s="63"/>
      <c r="D35" s="63"/>
      <c r="E35" s="63"/>
      <c r="F35" s="63"/>
      <c r="G35" s="63"/>
      <c r="H35" s="64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5" t="s">
        <v>153</v>
      </c>
      <c r="C36" s="66"/>
      <c r="D36" s="66"/>
      <c r="E36" s="66"/>
      <c r="F36" s="66"/>
      <c r="G36" s="66"/>
      <c r="H36" s="6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65" t="s">
        <v>152</v>
      </c>
      <c r="C37" s="85"/>
      <c r="D37" s="85"/>
      <c r="E37" s="85"/>
      <c r="F37" s="85"/>
      <c r="G37" s="85"/>
      <c r="H37" s="9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4" t="s">
        <v>151</v>
      </c>
      <c r="C38" s="55"/>
      <c r="D38" s="55"/>
      <c r="E38" s="55"/>
      <c r="F38" s="55"/>
      <c r="G38" s="55"/>
      <c r="H38" s="5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4"/>
      <c r="C39" s="55"/>
      <c r="D39" s="55"/>
      <c r="E39" s="55"/>
      <c r="F39" s="55"/>
      <c r="G39" s="55"/>
      <c r="H39" s="5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5"/>
      <c r="C40" s="46"/>
      <c r="D40" s="46"/>
      <c r="E40" s="46"/>
      <c r="F40" s="46"/>
      <c r="G40" s="46"/>
      <c r="H40" s="4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FD1003"/>
  <sheetViews>
    <sheetView topLeftCell="A7" zoomScale="110" zoomScaleNormal="110" workbookViewId="0">
      <selection activeCell="H18" sqref="H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156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155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154</v>
      </c>
      <c r="C9" s="61"/>
      <c r="D9" s="61"/>
      <c r="E9" s="61"/>
      <c r="F9" s="61"/>
      <c r="G9" s="61"/>
      <c r="H9" s="12">
        <v>4825.7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46024</v>
      </c>
      <c r="C10" s="13" t="s">
        <v>8</v>
      </c>
      <c r="D10" s="23">
        <v>5807</v>
      </c>
      <c r="E10" s="23">
        <f>D10-F10</f>
        <v>4355.25</v>
      </c>
      <c r="F10" s="23">
        <f>+D10*0.25</f>
        <v>1451.75</v>
      </c>
      <c r="G10" s="23">
        <v>1451.75</v>
      </c>
      <c r="H10" s="12">
        <f>H9+F10-G10</f>
        <v>4825.7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46027</v>
      </c>
      <c r="C11" s="13" t="s">
        <v>8</v>
      </c>
      <c r="D11" s="23">
        <f>22326.2+7436.39</f>
        <v>29762.59</v>
      </c>
      <c r="E11" s="23">
        <f t="shared" ref="E11:E33" si="1">D11-F11</f>
        <v>22321.942500000001</v>
      </c>
      <c r="F11" s="23">
        <f>+D11*0.25</f>
        <v>7440.6475</v>
      </c>
      <c r="G11" s="23">
        <f>1859.06+5581.55</f>
        <v>7440.6100000000006</v>
      </c>
      <c r="H11" s="12">
        <f t="shared" ref="H11:H33" si="2">H10+F11-G11</f>
        <v>4825.7374999999993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46028</v>
      </c>
      <c r="C12" s="13" t="s">
        <v>8</v>
      </c>
      <c r="D12" s="23">
        <f>20830.49+14200.8</f>
        <v>35031.29</v>
      </c>
      <c r="E12" s="23">
        <f t="shared" si="1"/>
        <v>26273.467499999999</v>
      </c>
      <c r="F12" s="23">
        <f t="shared" ref="F12:F33" si="3">+D12*0.25</f>
        <v>8757.8225000000002</v>
      </c>
      <c r="G12" s="23">
        <f>5207.57+3550.2</f>
        <v>8757.77</v>
      </c>
      <c r="H12" s="12">
        <f t="shared" si="2"/>
        <v>4825.7899999999991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46029</v>
      </c>
      <c r="C13" s="13" t="s">
        <v>8</v>
      </c>
      <c r="D13" s="23">
        <f>10997.98+21730</f>
        <v>32727.98</v>
      </c>
      <c r="E13" s="23">
        <f>D13-F13</f>
        <v>24545.985000000001</v>
      </c>
      <c r="F13" s="23">
        <f>+D13*0.25</f>
        <v>8181.9949999999999</v>
      </c>
      <c r="G13" s="23">
        <f>2749.48+5432.5</f>
        <v>8181.98</v>
      </c>
      <c r="H13" s="12">
        <f>H12+F13-G13</f>
        <v>4825.8050000000003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46030</v>
      </c>
      <c r="C14" s="13" t="s">
        <v>8</v>
      </c>
      <c r="D14" s="23">
        <f>19770.22+14124.4</f>
        <v>33894.620000000003</v>
      </c>
      <c r="E14" s="23">
        <f t="shared" si="1"/>
        <v>25420.965000000004</v>
      </c>
      <c r="F14" s="23">
        <f t="shared" si="3"/>
        <v>8473.6550000000007</v>
      </c>
      <c r="G14" s="23">
        <f>4942.52+3531.1</f>
        <v>8473.6200000000008</v>
      </c>
      <c r="H14" s="12">
        <f t="shared" si="2"/>
        <v>4825.84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46031</v>
      </c>
      <c r="C15" s="13" t="s">
        <v>8</v>
      </c>
      <c r="D15" s="23">
        <f>12355.81+13244.8</f>
        <v>25600.61</v>
      </c>
      <c r="E15" s="23">
        <f t="shared" si="1"/>
        <v>19200.4575</v>
      </c>
      <c r="F15" s="23">
        <f t="shared" si="3"/>
        <v>6400.1525000000001</v>
      </c>
      <c r="G15" s="23">
        <f>3088.9+3311.2</f>
        <v>6400.1</v>
      </c>
      <c r="H15" s="12">
        <f t="shared" si="2"/>
        <v>4825.8924999999999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46034</v>
      </c>
      <c r="C16" s="13" t="s">
        <v>8</v>
      </c>
      <c r="D16" s="23">
        <f>15712.18+22626.2</f>
        <v>38338.380000000005</v>
      </c>
      <c r="E16" s="23">
        <f t="shared" si="1"/>
        <v>28753.785000000003</v>
      </c>
      <c r="F16" s="23">
        <f t="shared" si="3"/>
        <v>9584.5950000000012</v>
      </c>
      <c r="G16" s="23">
        <f>3928.01+5656.55</f>
        <v>9584.5600000000013</v>
      </c>
      <c r="H16" s="12">
        <f t="shared" si="2"/>
        <v>4825.9274999999998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53" t="s">
        <v>12</v>
      </c>
      <c r="B17" s="48">
        <v>46034</v>
      </c>
      <c r="C17" s="49" t="s">
        <v>157</v>
      </c>
      <c r="D17" s="50">
        <v>0</v>
      </c>
      <c r="E17" s="50">
        <v>0</v>
      </c>
      <c r="F17" s="50">
        <v>0</v>
      </c>
      <c r="G17" s="50">
        <v>3400.22</v>
      </c>
      <c r="H17" s="51">
        <f>H16+F17-G17</f>
        <v>1425.7075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 16384:16384" x14ac:dyDescent="0.25">
      <c r="A18" s="2"/>
      <c r="B18" s="22">
        <f>B16+(MOD(B16,7)=6)*2+1</f>
        <v>46035</v>
      </c>
      <c r="C18" s="13" t="s">
        <v>8</v>
      </c>
      <c r="D18" s="23">
        <f>28383.51+11150.85</f>
        <v>39534.36</v>
      </c>
      <c r="E18" s="23">
        <f t="shared" si="1"/>
        <v>29650.77</v>
      </c>
      <c r="F18" s="23">
        <f t="shared" si="3"/>
        <v>9883.59</v>
      </c>
      <c r="G18" s="23">
        <f>7095.82+2787.71</f>
        <v>9883.5299999999988</v>
      </c>
      <c r="H18" s="12">
        <f t="shared" si="2"/>
        <v>1425.7675000000017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46036</v>
      </c>
      <c r="C19" s="13" t="s">
        <v>8</v>
      </c>
      <c r="D19" s="23">
        <f>9462.45+10796.8</f>
        <v>20259.25</v>
      </c>
      <c r="E19" s="23">
        <f t="shared" si="1"/>
        <v>15194.4375</v>
      </c>
      <c r="F19" s="23">
        <f t="shared" si="3"/>
        <v>5064.8125</v>
      </c>
      <c r="G19" s="23">
        <f>2365.6+2699.2</f>
        <v>5064.7999999999993</v>
      </c>
      <c r="H19" s="12">
        <f t="shared" si="2"/>
        <v>1425.7800000000025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46037</v>
      </c>
      <c r="C20" s="13" t="s">
        <v>8</v>
      </c>
      <c r="D20" s="23">
        <f>11377.33+8896.8</f>
        <v>20274.129999999997</v>
      </c>
      <c r="E20" s="23">
        <f t="shared" si="1"/>
        <v>15205.597499999998</v>
      </c>
      <c r="F20" s="23">
        <f t="shared" si="3"/>
        <v>5068.5324999999993</v>
      </c>
      <c r="G20" s="23">
        <f>2844.32+2224.2</f>
        <v>5068.5200000000004</v>
      </c>
      <c r="H20" s="12">
        <f t="shared" si="2"/>
        <v>1425.7925000000014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46038</v>
      </c>
      <c r="C21" s="13" t="s">
        <v>8</v>
      </c>
      <c r="D21" s="23">
        <f>19061.31+9240.2+564.4</f>
        <v>28865.910000000003</v>
      </c>
      <c r="E21" s="23">
        <f t="shared" si="1"/>
        <v>21649.432500000003</v>
      </c>
      <c r="F21" s="23">
        <f t="shared" si="3"/>
        <v>7216.4775000000009</v>
      </c>
      <c r="G21" s="23">
        <f>4765.3+2451.15</f>
        <v>7216.4500000000007</v>
      </c>
      <c r="H21" s="12">
        <f t="shared" si="2"/>
        <v>1425.8200000000015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46041</v>
      </c>
      <c r="C22" s="13" t="s">
        <v>8</v>
      </c>
      <c r="D22" s="23">
        <f>10392.7+19224.4</f>
        <v>29617.100000000002</v>
      </c>
      <c r="E22" s="23">
        <f t="shared" si="1"/>
        <v>22212.825000000001</v>
      </c>
      <c r="F22" s="23">
        <f t="shared" si="3"/>
        <v>7404.2750000000005</v>
      </c>
      <c r="G22" s="23">
        <f>2598.17+4806.1</f>
        <v>7404.27</v>
      </c>
      <c r="H22" s="12">
        <f t="shared" si="2"/>
        <v>1425.8250000000007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46042</v>
      </c>
      <c r="C23" s="13" t="s">
        <v>8</v>
      </c>
      <c r="D23" s="23">
        <f>29150.36+16328.2</f>
        <v>45478.559999999998</v>
      </c>
      <c r="E23" s="23">
        <f t="shared" si="1"/>
        <v>34108.92</v>
      </c>
      <c r="F23" s="23">
        <f t="shared" si="3"/>
        <v>11369.64</v>
      </c>
      <c r="G23" s="23">
        <f>7287.58+4082.05</f>
        <v>11369.630000000001</v>
      </c>
      <c r="H23" s="12">
        <f t="shared" si="2"/>
        <v>1425.8349999999991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46043</v>
      </c>
      <c r="C24" s="13" t="s">
        <v>8</v>
      </c>
      <c r="D24" s="23">
        <f>23111.21+18389.6</f>
        <v>41500.81</v>
      </c>
      <c r="E24" s="23">
        <f t="shared" si="1"/>
        <v>31125.607499999998</v>
      </c>
      <c r="F24" s="23">
        <f t="shared" si="3"/>
        <v>10375.202499999999</v>
      </c>
      <c r="G24" s="23">
        <f>5777.77+4597.4</f>
        <v>10375.17</v>
      </c>
      <c r="H24" s="12">
        <f t="shared" si="2"/>
        <v>1425.8674999999985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46044</v>
      </c>
      <c r="C25" s="13" t="s">
        <v>8</v>
      </c>
      <c r="D25" s="23">
        <f>15374.65+19758.1</f>
        <v>35132.75</v>
      </c>
      <c r="E25" s="23">
        <f t="shared" si="1"/>
        <v>26349.5625</v>
      </c>
      <c r="F25" s="23">
        <f t="shared" si="3"/>
        <v>8783.1875</v>
      </c>
      <c r="G25" s="23">
        <f>3843.66+4939.52</f>
        <v>8783.18</v>
      </c>
      <c r="H25" s="12">
        <f t="shared" si="2"/>
        <v>1425.8749999999982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46045</v>
      </c>
      <c r="C26" s="13" t="s">
        <v>8</v>
      </c>
      <c r="D26" s="23">
        <f>15391.72+11067.6</f>
        <v>26459.32</v>
      </c>
      <c r="E26" s="23">
        <f t="shared" si="1"/>
        <v>19844.489999999998</v>
      </c>
      <c r="F26" s="23">
        <f t="shared" si="3"/>
        <v>6614.83</v>
      </c>
      <c r="G26" s="23">
        <f>3847.91+2766.9</f>
        <v>6614.8099999999995</v>
      </c>
      <c r="H26" s="12">
        <f t="shared" si="2"/>
        <v>1425.8949999999986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46048</v>
      </c>
      <c r="C27" s="13" t="s">
        <v>8</v>
      </c>
      <c r="D27" s="23">
        <f>14317.14+33088.7</f>
        <v>47405.84</v>
      </c>
      <c r="E27" s="23">
        <f t="shared" si="1"/>
        <v>35554.379999999997</v>
      </c>
      <c r="F27" s="23">
        <f t="shared" si="3"/>
        <v>11851.46</v>
      </c>
      <c r="G27" s="23">
        <f>3579.27+8272.17</f>
        <v>11851.44</v>
      </c>
      <c r="H27" s="12">
        <f t="shared" si="2"/>
        <v>1425.9149999999972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46049</v>
      </c>
      <c r="C28" s="13" t="s">
        <v>8</v>
      </c>
      <c r="D28" s="23">
        <f>54607.96+31612.8+132.8</f>
        <v>86353.56</v>
      </c>
      <c r="E28" s="23">
        <f>D28-F28</f>
        <v>64765.17</v>
      </c>
      <c r="F28" s="23">
        <f t="shared" si="3"/>
        <v>21588.39</v>
      </c>
      <c r="G28" s="23">
        <f>13651.96+7936.4</f>
        <v>21588.36</v>
      </c>
      <c r="H28" s="12">
        <f t="shared" si="2"/>
        <v>1425.9449999999961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46050</v>
      </c>
      <c r="C29" s="13" t="s">
        <v>8</v>
      </c>
      <c r="D29" s="23">
        <f>65472.94+29822.4+132.8</f>
        <v>95428.14</v>
      </c>
      <c r="E29" s="23">
        <f t="shared" si="1"/>
        <v>71571.104999999996</v>
      </c>
      <c r="F29" s="23">
        <f t="shared" si="3"/>
        <v>23857.035</v>
      </c>
      <c r="G29" s="23">
        <f>16368.22+7488.8</f>
        <v>23857.02</v>
      </c>
      <c r="H29" s="12">
        <f t="shared" si="2"/>
        <v>1425.9599999999955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262189.26</v>
      </c>
    </row>
    <row r="30" spans="1:26 16384:16384" x14ac:dyDescent="0.25">
      <c r="A30" s="32"/>
      <c r="B30" s="22">
        <f t="shared" si="0"/>
        <v>46051</v>
      </c>
      <c r="C30" s="13" t="s">
        <v>8</v>
      </c>
      <c r="D30" s="38">
        <f>56782.44+42369.8+1349.8</f>
        <v>100502.04000000001</v>
      </c>
      <c r="E30" s="23">
        <f t="shared" si="1"/>
        <v>75376.53</v>
      </c>
      <c r="F30" s="23">
        <f t="shared" si="3"/>
        <v>25125.510000000002</v>
      </c>
      <c r="G30" s="23">
        <f>14195.56+10929.9</f>
        <v>25125.46</v>
      </c>
      <c r="H30" s="12">
        <f t="shared" si="2"/>
        <v>1426.0099999999984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46052</v>
      </c>
      <c r="C31" s="13" t="s">
        <v>8</v>
      </c>
      <c r="D31" s="38">
        <f>103994.96+82902.4+962.8</f>
        <v>187860.15999999997</v>
      </c>
      <c r="E31" s="23">
        <f t="shared" si="1"/>
        <v>140895.12</v>
      </c>
      <c r="F31" s="23">
        <f t="shared" si="3"/>
        <v>46965.039999999994</v>
      </c>
      <c r="G31" s="38">
        <f>25998.7+20966.3</f>
        <v>46965</v>
      </c>
      <c r="H31" s="12">
        <f t="shared" si="2"/>
        <v>1426.0499999999884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46055</v>
      </c>
      <c r="C32" s="13" t="s">
        <v>8</v>
      </c>
      <c r="D32" s="38">
        <f>22175.18+1291.8</f>
        <v>23466.98</v>
      </c>
      <c r="E32" s="23">
        <f t="shared" si="1"/>
        <v>17600.235000000001</v>
      </c>
      <c r="F32" s="23">
        <f t="shared" si="3"/>
        <v>5866.7449999999999</v>
      </c>
      <c r="G32" s="38">
        <f>5543.6+322.95</f>
        <v>5866.55</v>
      </c>
      <c r="H32" s="12">
        <f t="shared" si="2"/>
        <v>1426.2449999999881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52" t="s">
        <v>12</v>
      </c>
      <c r="B33" s="22">
        <v>46022</v>
      </c>
      <c r="C33" s="13" t="s">
        <v>8</v>
      </c>
      <c r="D33" s="38">
        <v>1681.22</v>
      </c>
      <c r="E33" s="23">
        <f t="shared" si="1"/>
        <v>1260.915</v>
      </c>
      <c r="F33" s="23">
        <f t="shared" si="3"/>
        <v>420.30500000000001</v>
      </c>
      <c r="G33" s="38">
        <v>0</v>
      </c>
      <c r="H33" s="12">
        <f t="shared" si="2"/>
        <v>1846.5499999999881</v>
      </c>
      <c r="I33" s="31"/>
      <c r="J33" s="39">
        <f>H33-1425.48</f>
        <v>421.06999999998811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817974.24000000011</v>
      </c>
      <c r="E34" s="20">
        <f>SUM(E10:E30)</f>
        <v>613480.68000000005</v>
      </c>
      <c r="F34" s="20">
        <f>SUM(F10:F30)</f>
        <v>204493.56000000003</v>
      </c>
      <c r="G34" s="20">
        <f>SUM(G10:G30)</f>
        <v>207893.25</v>
      </c>
      <c r="H34" s="12">
        <f>H33</f>
        <v>1846.5499999999881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2" t="s">
        <v>10</v>
      </c>
      <c r="C35" s="63"/>
      <c r="D35" s="63"/>
      <c r="E35" s="63"/>
      <c r="F35" s="63"/>
      <c r="G35" s="63"/>
      <c r="H35" s="64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5" t="s">
        <v>158</v>
      </c>
      <c r="C36" s="66"/>
      <c r="D36" s="66"/>
      <c r="E36" s="66"/>
      <c r="F36" s="66"/>
      <c r="G36" s="66"/>
      <c r="H36" s="6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65" t="s">
        <v>159</v>
      </c>
      <c r="C37" s="85"/>
      <c r="D37" s="85"/>
      <c r="E37" s="85"/>
      <c r="F37" s="85"/>
      <c r="G37" s="85"/>
      <c r="H37" s="9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4" t="s">
        <v>160</v>
      </c>
      <c r="C38" s="55"/>
      <c r="D38" s="55"/>
      <c r="E38" s="55"/>
      <c r="F38" s="55"/>
      <c r="G38" s="55"/>
      <c r="H38" s="5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4"/>
      <c r="C39" s="55"/>
      <c r="D39" s="55"/>
      <c r="E39" s="55"/>
      <c r="F39" s="55"/>
      <c r="G39" s="55"/>
      <c r="H39" s="56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5"/>
      <c r="C40" s="46"/>
      <c r="D40" s="46"/>
      <c r="E40" s="46"/>
      <c r="F40" s="46"/>
      <c r="G40" s="46"/>
      <c r="H40" s="4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FD1001"/>
  <sheetViews>
    <sheetView topLeftCell="A4" zoomScale="110" zoomScaleNormal="110" workbookViewId="0">
      <selection activeCell="F13" sqref="F1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162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155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161</v>
      </c>
      <c r="C9" s="61"/>
      <c r="D9" s="61"/>
      <c r="E9" s="61"/>
      <c r="F9" s="61"/>
      <c r="G9" s="61"/>
      <c r="H9" s="12">
        <v>1846.55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46055</v>
      </c>
      <c r="C10" s="13" t="s">
        <v>8</v>
      </c>
      <c r="D10" s="23">
        <f>367715.57+28624.8</f>
        <v>396340.37</v>
      </c>
      <c r="E10" s="23">
        <f>D10-F10</f>
        <v>297255.27749999997</v>
      </c>
      <c r="F10" s="23">
        <f>+D10*0.25</f>
        <v>99085.092499999999</v>
      </c>
      <c r="G10" s="23">
        <f>91928.61+7156.2</f>
        <v>99084.81</v>
      </c>
      <c r="H10" s="12">
        <f t="shared" ref="H10:H17" si="0">H9+F10-G10</f>
        <v>1846.8325000000041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1">B10+(MOD(B10,7)=6)*2+1</f>
        <v>46056</v>
      </c>
      <c r="C11" s="13" t="s">
        <v>8</v>
      </c>
      <c r="D11" s="23">
        <v>33176.839999999997</v>
      </c>
      <c r="E11" s="23">
        <f t="shared" ref="E11:E30" si="2">D11-F11</f>
        <v>24882.629999999997</v>
      </c>
      <c r="F11" s="23">
        <f>+D11*0.25</f>
        <v>8294.2099999999991</v>
      </c>
      <c r="G11" s="23">
        <v>8294.15</v>
      </c>
      <c r="H11" s="12">
        <f t="shared" si="0"/>
        <v>1846.8925000000036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1"/>
        <v>46057</v>
      </c>
      <c r="C12" s="13" t="s">
        <v>8</v>
      </c>
      <c r="D12" s="23">
        <v>15504.35</v>
      </c>
      <c r="E12" s="23">
        <f t="shared" si="2"/>
        <v>11628.262500000001</v>
      </c>
      <c r="F12" s="23">
        <f t="shared" ref="F12:F30" si="3">+D12*0.25</f>
        <v>3876.0875000000001</v>
      </c>
      <c r="G12" s="23">
        <v>3876.07</v>
      </c>
      <c r="H12" s="12">
        <f t="shared" si="0"/>
        <v>1846.910000000003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46058</v>
      </c>
      <c r="C13" s="13" t="s">
        <v>8</v>
      </c>
      <c r="D13" s="23">
        <v>12450.29</v>
      </c>
      <c r="E13" s="23">
        <f>D13-F13</f>
        <v>9337.7175000000007</v>
      </c>
      <c r="F13" s="23">
        <f>+D13*0.25</f>
        <v>3112.5725000000002</v>
      </c>
      <c r="G13" s="23">
        <v>3112.55</v>
      </c>
      <c r="H13" s="12">
        <f t="shared" si="0"/>
        <v>1846.9325000000035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1"/>
        <v>46059</v>
      </c>
      <c r="C14" s="13" t="s">
        <v>8</v>
      </c>
      <c r="D14" s="23">
        <v>21395.9</v>
      </c>
      <c r="E14" s="23">
        <f t="shared" si="2"/>
        <v>16046.925000000001</v>
      </c>
      <c r="F14" s="23">
        <f t="shared" si="3"/>
        <v>5348.9750000000004</v>
      </c>
      <c r="G14" s="23">
        <v>5348.95</v>
      </c>
      <c r="H14" s="12">
        <f t="shared" si="0"/>
        <v>1846.9575000000041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1"/>
        <v>46062</v>
      </c>
      <c r="C15" s="13" t="s">
        <v>8</v>
      </c>
      <c r="D15" s="23">
        <v>14684.1</v>
      </c>
      <c r="E15" s="23">
        <f t="shared" si="2"/>
        <v>11013.075000000001</v>
      </c>
      <c r="F15" s="23">
        <f t="shared" si="3"/>
        <v>3671.0250000000001</v>
      </c>
      <c r="G15" s="23">
        <v>3671</v>
      </c>
      <c r="H15" s="12">
        <f t="shared" si="0"/>
        <v>1846.9825000000037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48">
        <v>46062</v>
      </c>
      <c r="C16" s="49" t="s">
        <v>157</v>
      </c>
      <c r="D16" s="50">
        <v>0</v>
      </c>
      <c r="E16" s="50">
        <v>0</v>
      </c>
      <c r="F16" s="50">
        <v>0</v>
      </c>
      <c r="G16" s="50">
        <v>1425.48</v>
      </c>
      <c r="H16" s="12">
        <f t="shared" si="0"/>
        <v>421.50250000000369</v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 16384:16384" x14ac:dyDescent="0.25">
      <c r="A17" s="2"/>
      <c r="B17" s="22">
        <f>B15+(MOD(B15,7)=6)*2+1</f>
        <v>46063</v>
      </c>
      <c r="C17" s="13" t="s">
        <v>8</v>
      </c>
      <c r="D17" s="23">
        <v>13047.74</v>
      </c>
      <c r="E17" s="23">
        <f t="shared" si="2"/>
        <v>9785.8050000000003</v>
      </c>
      <c r="F17" s="23">
        <f t="shared" si="3"/>
        <v>3261.9349999999999</v>
      </c>
      <c r="G17" s="23">
        <v>3261.92</v>
      </c>
      <c r="H17" s="12">
        <f t="shared" si="0"/>
        <v>421.51750000000357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>B17+(MOD(B17,7)=6)*2+1</f>
        <v>46064</v>
      </c>
      <c r="C18" s="13" t="s">
        <v>8</v>
      </c>
      <c r="D18" s="23">
        <v>15037.81</v>
      </c>
      <c r="E18" s="23">
        <f t="shared" si="2"/>
        <v>11278.3575</v>
      </c>
      <c r="F18" s="23">
        <f t="shared" si="3"/>
        <v>3759.4524999999999</v>
      </c>
      <c r="G18" s="23">
        <v>3759.41</v>
      </c>
      <c r="H18" s="12">
        <f t="shared" ref="H18:H31" si="4">H17+F18-G18</f>
        <v>421.56000000000313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1"/>
        <v>46065</v>
      </c>
      <c r="C19" s="13" t="s">
        <v>8</v>
      </c>
      <c r="D19" s="23">
        <v>10629.29</v>
      </c>
      <c r="E19" s="23">
        <f t="shared" si="2"/>
        <v>7971.9675000000007</v>
      </c>
      <c r="F19" s="23">
        <f t="shared" si="3"/>
        <v>2657.3225000000002</v>
      </c>
      <c r="G19" s="23">
        <v>2657.29</v>
      </c>
      <c r="H19" s="12">
        <f t="shared" si="4"/>
        <v>421.59250000000338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1"/>
        <v>46066</v>
      </c>
      <c r="C20" s="13" t="s">
        <v>8</v>
      </c>
      <c r="D20" s="23">
        <v>28331.69</v>
      </c>
      <c r="E20" s="23">
        <f t="shared" si="2"/>
        <v>21248.767499999998</v>
      </c>
      <c r="F20" s="23">
        <f t="shared" si="3"/>
        <v>7082.9224999999997</v>
      </c>
      <c r="G20" s="23">
        <v>7082.9</v>
      </c>
      <c r="H20" s="12">
        <f t="shared" si="4"/>
        <v>421.61500000000342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1"/>
        <v>46069</v>
      </c>
      <c r="C21" s="13" t="s">
        <v>8</v>
      </c>
      <c r="D21" s="23">
        <v>0</v>
      </c>
      <c r="E21" s="23">
        <f t="shared" si="2"/>
        <v>0</v>
      </c>
      <c r="F21" s="23">
        <f t="shared" si="3"/>
        <v>0</v>
      </c>
      <c r="G21" s="23">
        <v>0</v>
      </c>
      <c r="H21" s="12">
        <f t="shared" si="4"/>
        <v>421.61500000000342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46070</v>
      </c>
      <c r="C22" s="13" t="s">
        <v>8</v>
      </c>
      <c r="D22" s="23">
        <v>0</v>
      </c>
      <c r="E22" s="23">
        <f t="shared" si="2"/>
        <v>0</v>
      </c>
      <c r="F22" s="23">
        <f t="shared" si="3"/>
        <v>0</v>
      </c>
      <c r="G22" s="23">
        <v>0</v>
      </c>
      <c r="H22" s="12">
        <f t="shared" si="4"/>
        <v>421.61500000000342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1"/>
        <v>46071</v>
      </c>
      <c r="C23" s="13" t="s">
        <v>8</v>
      </c>
      <c r="D23" s="23">
        <v>17915.89</v>
      </c>
      <c r="E23" s="23">
        <f t="shared" si="2"/>
        <v>13436.9175</v>
      </c>
      <c r="F23" s="23">
        <f t="shared" si="3"/>
        <v>4478.9724999999999</v>
      </c>
      <c r="G23" s="23">
        <v>4478.96</v>
      </c>
      <c r="H23" s="12">
        <f t="shared" si="4"/>
        <v>421.62750000000324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1"/>
        <v>46072</v>
      </c>
      <c r="C24" s="13" t="s">
        <v>8</v>
      </c>
      <c r="D24" s="23">
        <v>17303.009999999998</v>
      </c>
      <c r="E24" s="23">
        <f t="shared" si="2"/>
        <v>12977.2575</v>
      </c>
      <c r="F24" s="23">
        <f t="shared" si="3"/>
        <v>4325.7524999999996</v>
      </c>
      <c r="G24" s="23">
        <v>4325.74</v>
      </c>
      <c r="H24" s="12">
        <f t="shared" si="4"/>
        <v>421.64000000000306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1"/>
        <v>46073</v>
      </c>
      <c r="C25" s="13" t="s">
        <v>8</v>
      </c>
      <c r="D25" s="23">
        <v>12004.5</v>
      </c>
      <c r="E25" s="23">
        <f t="shared" si="2"/>
        <v>9003.375</v>
      </c>
      <c r="F25" s="23">
        <f t="shared" si="3"/>
        <v>3001.125</v>
      </c>
      <c r="G25" s="23">
        <v>3001.12</v>
      </c>
      <c r="H25" s="12">
        <f t="shared" si="4"/>
        <v>421.64500000000317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1"/>
        <v>46076</v>
      </c>
      <c r="C26" s="13" t="s">
        <v>8</v>
      </c>
      <c r="D26" s="23">
        <v>20240.32</v>
      </c>
      <c r="E26" s="23">
        <f t="shared" si="2"/>
        <v>15180.24</v>
      </c>
      <c r="F26" s="23">
        <f t="shared" si="3"/>
        <v>5060.08</v>
      </c>
      <c r="G26" s="23">
        <v>5060.07</v>
      </c>
      <c r="H26" s="12">
        <f t="shared" si="4"/>
        <v>421.65500000000338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1"/>
        <v>46077</v>
      </c>
      <c r="C27" s="13" t="s">
        <v>8</v>
      </c>
      <c r="D27" s="23">
        <v>12392.69</v>
      </c>
      <c r="E27" s="23">
        <f t="shared" si="2"/>
        <v>9294.5174999999999</v>
      </c>
      <c r="F27" s="23">
        <f t="shared" si="3"/>
        <v>3098.1725000000001</v>
      </c>
      <c r="G27" s="23">
        <v>3098.16</v>
      </c>
      <c r="H27" s="12">
        <f t="shared" si="4"/>
        <v>421.66750000000366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1"/>
        <v>46078</v>
      </c>
      <c r="C28" s="13" t="s">
        <v>8</v>
      </c>
      <c r="D28" s="23">
        <v>17029.62</v>
      </c>
      <c r="E28" s="23">
        <f>D28-F28</f>
        <v>12772.215</v>
      </c>
      <c r="F28" s="23">
        <f t="shared" si="3"/>
        <v>4257.4049999999997</v>
      </c>
      <c r="G28" s="23">
        <v>4257.3999999999996</v>
      </c>
      <c r="H28" s="12">
        <f t="shared" si="4"/>
        <v>421.67250000000422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46079</v>
      </c>
      <c r="C29" s="13" t="s">
        <v>8</v>
      </c>
      <c r="D29" s="23">
        <v>21739.360000000001</v>
      </c>
      <c r="E29" s="23">
        <f t="shared" si="2"/>
        <v>16304.52</v>
      </c>
      <c r="F29" s="23">
        <f t="shared" si="3"/>
        <v>5434.84</v>
      </c>
      <c r="G29" s="23">
        <v>5434.82</v>
      </c>
      <c r="H29" s="12">
        <f t="shared" si="4"/>
        <v>421.69250000000466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95414.232500000013</v>
      </c>
    </row>
    <row r="30" spans="1:26 16384:16384" x14ac:dyDescent="0.25">
      <c r="A30" s="32"/>
      <c r="B30" s="22">
        <f t="shared" si="1"/>
        <v>46080</v>
      </c>
      <c r="C30" s="13" t="s">
        <v>8</v>
      </c>
      <c r="D30" s="38">
        <v>37493.800000000003</v>
      </c>
      <c r="E30" s="23">
        <f t="shared" si="2"/>
        <v>28120.350000000002</v>
      </c>
      <c r="F30" s="23">
        <f t="shared" si="3"/>
        <v>9373.4500000000007</v>
      </c>
      <c r="G30" s="23">
        <v>9373.43</v>
      </c>
      <c r="H30" s="12">
        <f t="shared" si="4"/>
        <v>421.71250000000509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52"/>
      <c r="B31" s="22"/>
      <c r="C31" s="13"/>
      <c r="D31" s="38"/>
      <c r="E31" s="23"/>
      <c r="F31" s="23"/>
      <c r="G31" s="38"/>
      <c r="H31" s="12">
        <f t="shared" si="4"/>
        <v>421.71250000000509</v>
      </c>
      <c r="I31" s="31"/>
      <c r="J31" s="39">
        <f>H31-421.07</f>
        <v>0.64250000000509999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thickBot="1" x14ac:dyDescent="0.3">
      <c r="A32" s="2"/>
      <c r="B32" s="18" t="s">
        <v>9</v>
      </c>
      <c r="C32" s="19"/>
      <c r="D32" s="20">
        <f>SUM(D10:D30)</f>
        <v>716717.56999999983</v>
      </c>
      <c r="E32" s="20">
        <f>SUM(E10:E30)</f>
        <v>537538.17750000011</v>
      </c>
      <c r="F32" s="20">
        <f>SUM(F10:F30)</f>
        <v>179179.39249999996</v>
      </c>
      <c r="G32" s="20">
        <f>SUM(G10:G30)</f>
        <v>180604.22999999998</v>
      </c>
      <c r="H32" s="12">
        <f>H31</f>
        <v>421.71250000000509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2" t="s">
        <v>10</v>
      </c>
      <c r="C33" s="63"/>
      <c r="D33" s="63"/>
      <c r="E33" s="63"/>
      <c r="F33" s="63"/>
      <c r="G33" s="63"/>
      <c r="H33" s="64"/>
      <c r="I33" s="30"/>
      <c r="J33" s="2"/>
      <c r="K33" s="16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65" t="s">
        <v>163</v>
      </c>
      <c r="C34" s="66"/>
      <c r="D34" s="66"/>
      <c r="E34" s="66"/>
      <c r="F34" s="66"/>
      <c r="G34" s="66"/>
      <c r="H34" s="6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65" t="s">
        <v>164</v>
      </c>
      <c r="C35" s="85"/>
      <c r="D35" s="85"/>
      <c r="E35" s="85"/>
      <c r="F35" s="85"/>
      <c r="G35" s="85"/>
      <c r="H35" s="9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/>
      <c r="C36" s="55"/>
      <c r="D36" s="55"/>
      <c r="E36" s="55"/>
      <c r="F36" s="55"/>
      <c r="G36" s="55"/>
      <c r="H36" s="56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4"/>
      <c r="C37" s="55"/>
      <c r="D37" s="55"/>
      <c r="E37" s="55"/>
      <c r="F37" s="55"/>
      <c r="G37" s="55"/>
      <c r="H37" s="5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thickBot="1" x14ac:dyDescent="0.3">
      <c r="A38" s="2"/>
      <c r="B38" s="45"/>
      <c r="C38" s="46"/>
      <c r="D38" s="46"/>
      <c r="E38" s="46"/>
      <c r="F38" s="46"/>
      <c r="G38" s="46"/>
      <c r="H38" s="4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6">
    <mergeCell ref="B36:H37"/>
    <mergeCell ref="B7:H7"/>
    <mergeCell ref="B9:G9"/>
    <mergeCell ref="B33:H33"/>
    <mergeCell ref="B34:H34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5812-EC8E-4337-B78B-8DA856116E86}">
  <dimension ref="A1:XFD1006"/>
  <sheetViews>
    <sheetView topLeftCell="A7" zoomScale="110" zoomScaleNormal="110" workbookViewId="0">
      <selection activeCell="H35" sqref="H35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172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165</v>
      </c>
      <c r="C9" s="61"/>
      <c r="D9" s="61"/>
      <c r="E9" s="61"/>
      <c r="F9" s="61"/>
      <c r="G9" s="61"/>
      <c r="H9" s="12">
        <v>421.71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46083</v>
      </c>
      <c r="C10" s="13" t="s">
        <v>8</v>
      </c>
      <c r="D10" s="23">
        <f>92469.68+6845.54</f>
        <v>99315.219999999987</v>
      </c>
      <c r="E10" s="23">
        <f>D10-F10</f>
        <v>74486.414999999994</v>
      </c>
      <c r="F10" s="23">
        <f>+D10*0.25</f>
        <v>24828.804999999997</v>
      </c>
      <c r="G10" s="23">
        <f>23117.35+1711.37</f>
        <v>24828.719999999998</v>
      </c>
      <c r="H10" s="12">
        <f>H9+F10-G10</f>
        <v>421.79499999999825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46084</v>
      </c>
      <c r="C11" s="13" t="s">
        <v>8</v>
      </c>
      <c r="D11" s="23">
        <f>20782.01+2799.51</f>
        <v>23581.519999999997</v>
      </c>
      <c r="E11" s="23">
        <f t="shared" ref="E11:E34" si="1">D11-F11</f>
        <v>17686.14</v>
      </c>
      <c r="F11" s="23">
        <f>+D11*0.25</f>
        <v>5895.3799999999992</v>
      </c>
      <c r="G11" s="23">
        <f>5195.33+699.87</f>
        <v>5895.2</v>
      </c>
      <c r="H11" s="12">
        <f t="shared" ref="H11:H35" si="2">H10+F11-G11</f>
        <v>421.97499999999764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46085</v>
      </c>
      <c r="C12" s="13" t="s">
        <v>8</v>
      </c>
      <c r="D12" s="23">
        <f>6858.4+2010</f>
        <v>8868.4</v>
      </c>
      <c r="E12" s="23">
        <f t="shared" si="1"/>
        <v>6651.2999999999993</v>
      </c>
      <c r="F12" s="23">
        <f t="shared" ref="F12:F34" si="3">+D12*0.25</f>
        <v>2217.1</v>
      </c>
      <c r="G12" s="23">
        <f>1714.58+502.5</f>
        <v>2217.08</v>
      </c>
      <c r="H12" s="12">
        <f t="shared" si="2"/>
        <v>421.99499999999762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2" t="s">
        <v>12</v>
      </c>
      <c r="B13" s="48">
        <v>46085</v>
      </c>
      <c r="C13" s="49" t="s">
        <v>8</v>
      </c>
      <c r="D13" s="50">
        <v>0</v>
      </c>
      <c r="E13" s="50">
        <v>0</v>
      </c>
      <c r="F13" s="50">
        <v>0</v>
      </c>
      <c r="G13" s="50">
        <v>421.07</v>
      </c>
      <c r="H13" s="12">
        <f t="shared" si="2"/>
        <v>0.92499999999762395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46086</v>
      </c>
      <c r="C14" s="13" t="s">
        <v>8</v>
      </c>
      <c r="D14" s="23">
        <f>9476.81+3273.43</f>
        <v>12750.24</v>
      </c>
      <c r="E14" s="23">
        <f>D14-F14</f>
        <v>9562.68</v>
      </c>
      <c r="F14" s="23">
        <f>+D14*0.25</f>
        <v>3187.56</v>
      </c>
      <c r="G14" s="23">
        <f>2369.2+818.35</f>
        <v>3187.5499999999997</v>
      </c>
      <c r="H14" s="12">
        <f t="shared" si="2"/>
        <v>0.93499999999767169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46087</v>
      </c>
      <c r="C15" s="13" t="s">
        <v>8</v>
      </c>
      <c r="D15" s="23">
        <f>9795.14+1500.88</f>
        <v>11296.02</v>
      </c>
      <c r="E15" s="23">
        <f t="shared" si="1"/>
        <v>8472.0149999999994</v>
      </c>
      <c r="F15" s="23">
        <f t="shared" si="3"/>
        <v>2824.0050000000001</v>
      </c>
      <c r="G15" s="23">
        <f>2448.77+375.22</f>
        <v>2823.99</v>
      </c>
      <c r="H15" s="12">
        <f t="shared" si="2"/>
        <v>0.94999999999799911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46090</v>
      </c>
      <c r="C16" s="13" t="s">
        <v>8</v>
      </c>
      <c r="D16" s="23">
        <f>9656.24+5396.2+132.8</f>
        <v>15185.239999999998</v>
      </c>
      <c r="E16" s="23">
        <f t="shared" si="1"/>
        <v>11388.929999999998</v>
      </c>
      <c r="F16" s="23">
        <f t="shared" si="3"/>
        <v>3796.3099999999995</v>
      </c>
      <c r="G16" s="23">
        <f>2414.05+1382.25</f>
        <v>3796.3</v>
      </c>
      <c r="H16" s="12">
        <f t="shared" si="2"/>
        <v>0.9599999999973079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>B16+(MOD(B16,7)=6)*2+1</f>
        <v>46091</v>
      </c>
      <c r="C17" s="13" t="s">
        <v>8</v>
      </c>
      <c r="D17" s="23">
        <f>8138.37+2620.4</f>
        <v>10758.77</v>
      </c>
      <c r="E17" s="23">
        <f t="shared" si="1"/>
        <v>8069.0775000000003</v>
      </c>
      <c r="F17" s="23">
        <f t="shared" si="3"/>
        <v>2689.6925000000001</v>
      </c>
      <c r="G17" s="23">
        <f>2034.57+655.1</f>
        <v>2689.67</v>
      </c>
      <c r="H17" s="12">
        <f t="shared" si="2"/>
        <v>0.98249999999734428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>B17+(MOD(B17,7)=6)*2+1</f>
        <v>46092</v>
      </c>
      <c r="C18" s="13" t="s">
        <v>8</v>
      </c>
      <c r="D18" s="23">
        <f>5281.47+2056.22</f>
        <v>7337.6900000000005</v>
      </c>
      <c r="E18" s="23">
        <f t="shared" si="1"/>
        <v>5503.2674999999999</v>
      </c>
      <c r="F18" s="23">
        <f t="shared" si="3"/>
        <v>1834.4225000000001</v>
      </c>
      <c r="G18" s="23">
        <f>1320.36+514.04</f>
        <v>1834.3999999999999</v>
      </c>
      <c r="H18" s="12">
        <f t="shared" si="2"/>
        <v>1.004999999997608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46093</v>
      </c>
      <c r="C19" s="13" t="s">
        <v>8</v>
      </c>
      <c r="D19" s="23">
        <f>2263.66+2888.21</f>
        <v>5151.87</v>
      </c>
      <c r="E19" s="23">
        <f t="shared" si="1"/>
        <v>3863.9025000000001</v>
      </c>
      <c r="F19" s="23">
        <f t="shared" si="3"/>
        <v>1287.9675</v>
      </c>
      <c r="G19" s="23">
        <f>565.91+722.05</f>
        <v>1287.96</v>
      </c>
      <c r="H19" s="12">
        <f t="shared" si="2"/>
        <v>1.0124999999975444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46094</v>
      </c>
      <c r="C20" s="13" t="s">
        <v>8</v>
      </c>
      <c r="D20" s="23">
        <f>2087.15+1490.4</f>
        <v>3577.55</v>
      </c>
      <c r="E20" s="23">
        <f t="shared" si="1"/>
        <v>2683.1625000000004</v>
      </c>
      <c r="F20" s="23">
        <f t="shared" si="3"/>
        <v>894.38750000000005</v>
      </c>
      <c r="G20" s="23">
        <f>521.78+372.6</f>
        <v>894.38</v>
      </c>
      <c r="H20" s="12">
        <f t="shared" si="2"/>
        <v>1.0199999999975944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46097</v>
      </c>
      <c r="C21" s="13" t="s">
        <v>8</v>
      </c>
      <c r="D21" s="23">
        <f>3890.33+3464.4</f>
        <v>7354.73</v>
      </c>
      <c r="E21" s="23">
        <f t="shared" si="1"/>
        <v>5516.0474999999997</v>
      </c>
      <c r="F21" s="23">
        <f t="shared" si="3"/>
        <v>1838.6824999999999</v>
      </c>
      <c r="G21" s="23">
        <f>972.57+866.1</f>
        <v>1838.67</v>
      </c>
      <c r="H21" s="12">
        <f t="shared" si="2"/>
        <v>1.0324999999975262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46098</v>
      </c>
      <c r="C22" s="13" t="s">
        <v>8</v>
      </c>
      <c r="D22" s="23">
        <f>5265.82+3357.2</f>
        <v>8623.02</v>
      </c>
      <c r="E22" s="23">
        <f t="shared" si="1"/>
        <v>6467.2650000000003</v>
      </c>
      <c r="F22" s="23">
        <f t="shared" si="3"/>
        <v>2155.7550000000001</v>
      </c>
      <c r="G22" s="23">
        <f>1316.45+839.3</f>
        <v>2155.75</v>
      </c>
      <c r="H22" s="12">
        <f t="shared" si="2"/>
        <v>1.0374999999976353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46099</v>
      </c>
      <c r="C23" s="13" t="s">
        <v>8</v>
      </c>
      <c r="D23" s="23">
        <f>7742.33+1765.6</f>
        <v>9507.93</v>
      </c>
      <c r="E23" s="23">
        <f t="shared" si="1"/>
        <v>7130.9475000000002</v>
      </c>
      <c r="F23" s="23">
        <f t="shared" si="3"/>
        <v>2376.9825000000001</v>
      </c>
      <c r="G23" s="23">
        <f>1935.57+441.4</f>
        <v>2376.9699999999998</v>
      </c>
      <c r="H23" s="12">
        <f t="shared" si="2"/>
        <v>1.0499999999979082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46100</v>
      </c>
      <c r="C24" s="13" t="s">
        <v>8</v>
      </c>
      <c r="D24" s="23">
        <f>4924.09+605.6</f>
        <v>5529.6900000000005</v>
      </c>
      <c r="E24" s="23">
        <f t="shared" si="1"/>
        <v>4147.2674999999999</v>
      </c>
      <c r="F24" s="23">
        <f t="shared" si="3"/>
        <v>1382.4225000000001</v>
      </c>
      <c r="G24" s="23">
        <f>1231.02+151.4</f>
        <v>1382.42</v>
      </c>
      <c r="H24" s="12">
        <f t="shared" si="2"/>
        <v>1.0524999999979627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46101</v>
      </c>
      <c r="C25" s="13" t="s">
        <v>8</v>
      </c>
      <c r="D25" s="23">
        <f>10554.01+2509.57</f>
        <v>13063.58</v>
      </c>
      <c r="E25" s="23">
        <f t="shared" si="1"/>
        <v>9797.6849999999995</v>
      </c>
      <c r="F25" s="23">
        <f t="shared" si="3"/>
        <v>3265.895</v>
      </c>
      <c r="G25" s="23">
        <f>2638.49+627.39</f>
        <v>3265.8799999999997</v>
      </c>
      <c r="H25" s="12">
        <f t="shared" si="2"/>
        <v>1.0674999999982901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46104</v>
      </c>
      <c r="C26" s="13" t="s">
        <v>8</v>
      </c>
      <c r="D26" s="23">
        <f>3095.2+6005.36</f>
        <v>9100.56</v>
      </c>
      <c r="E26" s="23">
        <f t="shared" si="1"/>
        <v>6825.42</v>
      </c>
      <c r="F26" s="23">
        <f t="shared" si="3"/>
        <v>2275.14</v>
      </c>
      <c r="G26" s="23">
        <f>773.8+1501.34</f>
        <v>2275.14</v>
      </c>
      <c r="H26" s="12">
        <f t="shared" si="2"/>
        <v>1.0674999999982901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46105</v>
      </c>
      <c r="C27" s="13" t="s">
        <v>8</v>
      </c>
      <c r="D27" s="23">
        <f>4873.37+4184.2</f>
        <v>9057.57</v>
      </c>
      <c r="E27" s="23">
        <f t="shared" si="1"/>
        <v>6793.1774999999998</v>
      </c>
      <c r="F27" s="23">
        <f t="shared" si="3"/>
        <v>2264.3924999999999</v>
      </c>
      <c r="G27" s="23">
        <f>1218.34+1046.04</f>
        <v>2264.38</v>
      </c>
      <c r="H27" s="12">
        <f t="shared" si="2"/>
        <v>1.0799999999981083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46106</v>
      </c>
      <c r="C28" s="13" t="s">
        <v>8</v>
      </c>
      <c r="D28" s="23">
        <f>5683.49+924.8</f>
        <v>6608.29</v>
      </c>
      <c r="E28" s="23">
        <f>D28-F28</f>
        <v>4956.2174999999997</v>
      </c>
      <c r="F28" s="23">
        <f t="shared" si="3"/>
        <v>1652.0725</v>
      </c>
      <c r="G28" s="23">
        <f>1420.87+231.2</f>
        <v>1652.07</v>
      </c>
      <c r="H28" s="12">
        <f t="shared" si="2"/>
        <v>1.0824999999981628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x14ac:dyDescent="0.25">
      <c r="A29" s="32" t="s">
        <v>13</v>
      </c>
      <c r="B29" s="48">
        <v>46106</v>
      </c>
      <c r="C29" s="49" t="s">
        <v>8</v>
      </c>
      <c r="D29" s="50">
        <v>0</v>
      </c>
      <c r="E29" s="50">
        <v>0</v>
      </c>
      <c r="F29" s="50">
        <v>0</v>
      </c>
      <c r="G29" s="50">
        <v>0.64</v>
      </c>
      <c r="H29" s="12">
        <f t="shared" si="2"/>
        <v>0.44249999999816281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2"/>
      <c r="B30" s="22">
        <f>B28+(MOD(B28,7)=6)*2+1</f>
        <v>46107</v>
      </c>
      <c r="C30" s="13" t="s">
        <v>8</v>
      </c>
      <c r="D30" s="23">
        <f>6606.38+701.2</f>
        <v>7307.58</v>
      </c>
      <c r="E30" s="23">
        <f t="shared" si="1"/>
        <v>5480.6849999999995</v>
      </c>
      <c r="F30" s="23">
        <f t="shared" si="3"/>
        <v>1826.895</v>
      </c>
      <c r="G30" s="23">
        <f>1651.59+175.3</f>
        <v>1826.8899999999999</v>
      </c>
      <c r="H30" s="12">
        <f t="shared" si="2"/>
        <v>0.44749999999817192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XFD30">
        <f>SUM(A30:XFC30)</f>
        <v>62549.49749999999</v>
      </c>
    </row>
    <row r="31" spans="1:26 16384:16384" x14ac:dyDescent="0.25">
      <c r="A31" s="32"/>
      <c r="B31" s="22">
        <f t="shared" si="0"/>
        <v>46108</v>
      </c>
      <c r="C31" s="13" t="s">
        <v>8</v>
      </c>
      <c r="D31" s="38">
        <f>4684.76+1442.8</f>
        <v>6127.56</v>
      </c>
      <c r="E31" s="23">
        <f t="shared" si="1"/>
        <v>4595.67</v>
      </c>
      <c r="F31" s="23">
        <f t="shared" si="3"/>
        <v>1531.89</v>
      </c>
      <c r="G31" s="23">
        <f>1171.18+360.7</f>
        <v>1531.88</v>
      </c>
      <c r="H31" s="12">
        <f t="shared" si="2"/>
        <v>0.45749999999816282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46111</v>
      </c>
      <c r="C32" s="13" t="s">
        <v>8</v>
      </c>
      <c r="D32" s="38">
        <f>13533.51+4581.8</f>
        <v>18115.310000000001</v>
      </c>
      <c r="E32" s="23">
        <f t="shared" si="1"/>
        <v>13586.482500000002</v>
      </c>
      <c r="F32" s="23">
        <f t="shared" si="3"/>
        <v>4528.8275000000003</v>
      </c>
      <c r="G32" s="38">
        <f>3383.34+1145.45</f>
        <v>4528.79</v>
      </c>
      <c r="H32" s="12">
        <f t="shared" si="2"/>
        <v>0.49499999999807187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/>
      <c r="B33" s="22">
        <f t="shared" si="0"/>
        <v>46112</v>
      </c>
      <c r="C33" s="13" t="s">
        <v>8</v>
      </c>
      <c r="D33" s="38">
        <f>24473.63+10334.4</f>
        <v>34808.03</v>
      </c>
      <c r="E33" s="23">
        <f t="shared" si="1"/>
        <v>26106.022499999999</v>
      </c>
      <c r="F33" s="23">
        <f t="shared" si="3"/>
        <v>8702.0074999999997</v>
      </c>
      <c r="G33" s="38">
        <f>6118.29+2583.6</f>
        <v>8701.89</v>
      </c>
      <c r="H33" s="12">
        <f t="shared" si="2"/>
        <v>0.6124999999992724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/>
      <c r="B34" s="22">
        <v>46112</v>
      </c>
      <c r="C34" s="13" t="s">
        <v>8</v>
      </c>
      <c r="D34" s="38">
        <v>3182.6</v>
      </c>
      <c r="E34" s="23">
        <f t="shared" si="1"/>
        <v>2386.9499999999998</v>
      </c>
      <c r="F34" s="23">
        <f>+D34*0.25</f>
        <v>795.65</v>
      </c>
      <c r="G34" s="38">
        <v>0</v>
      </c>
      <c r="H34" s="12">
        <f>H33+F34-G34</f>
        <v>796.26249999999925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x14ac:dyDescent="0.25">
      <c r="A35" s="52"/>
      <c r="B35" s="22"/>
      <c r="C35" s="13"/>
      <c r="D35" s="38"/>
      <c r="E35" s="23"/>
      <c r="F35" s="23"/>
      <c r="G35" s="38"/>
      <c r="H35" s="12">
        <f t="shared" si="2"/>
        <v>796.26249999999925</v>
      </c>
      <c r="I35" s="31"/>
      <c r="J35" s="39"/>
      <c r="K35" s="31" t="s">
        <v>170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18" t="s">
        <v>9</v>
      </c>
      <c r="C36" s="19"/>
      <c r="D36" s="20">
        <f>SUM(D10:D34)</f>
        <v>336208.96999999986</v>
      </c>
      <c r="E36" s="20">
        <f>SUM(E10:E34)</f>
        <v>252156.72750000001</v>
      </c>
      <c r="F36" s="20">
        <f>SUM(F10:F35)</f>
        <v>84052.242499999964</v>
      </c>
      <c r="G36" s="20">
        <f>SUM(G10:G35)</f>
        <v>83677.689999999988</v>
      </c>
      <c r="H36" s="12">
        <f>H35</f>
        <v>796.26249999999925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2" t="s">
        <v>10</v>
      </c>
      <c r="C37" s="63"/>
      <c r="D37" s="63"/>
      <c r="E37" s="63"/>
      <c r="F37" s="63"/>
      <c r="G37" s="63"/>
      <c r="H37" s="64"/>
      <c r="I37" s="30"/>
      <c r="J37" s="2"/>
      <c r="K37" s="1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5" t="s">
        <v>169</v>
      </c>
      <c r="C38" s="66"/>
      <c r="D38" s="66"/>
      <c r="E38" s="66"/>
      <c r="F38" s="66"/>
      <c r="G38" s="66"/>
      <c r="H38" s="6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65"/>
      <c r="C39" s="66"/>
      <c r="D39" s="66"/>
      <c r="E39" s="66"/>
      <c r="F39" s="66"/>
      <c r="G39" s="66"/>
      <c r="H39" s="67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65" t="s">
        <v>166</v>
      </c>
      <c r="C40" s="85"/>
      <c r="D40" s="85"/>
      <c r="E40" s="85"/>
      <c r="F40" s="85"/>
      <c r="G40" s="85"/>
      <c r="H40" s="90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54" t="s">
        <v>167</v>
      </c>
      <c r="C41" s="55"/>
      <c r="D41" s="55"/>
      <c r="E41" s="55"/>
      <c r="F41" s="55"/>
      <c r="G41" s="55"/>
      <c r="H41" s="56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33.75" customHeight="1" x14ac:dyDescent="0.25">
      <c r="A42" s="31"/>
      <c r="B42" s="54" t="s">
        <v>168</v>
      </c>
      <c r="C42" s="55"/>
      <c r="D42" s="55"/>
      <c r="E42" s="55"/>
      <c r="F42" s="55"/>
      <c r="G42" s="55"/>
      <c r="H42" s="56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5.75" customHeight="1" thickBot="1" x14ac:dyDescent="0.3">
      <c r="A43" s="2"/>
      <c r="B43" s="45"/>
      <c r="C43" s="46"/>
      <c r="D43" s="46"/>
      <c r="E43" s="46"/>
      <c r="F43" s="46"/>
      <c r="G43" s="46"/>
      <c r="H43" s="4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39:H39"/>
    <mergeCell ref="B7:H7"/>
    <mergeCell ref="B9:G9"/>
    <mergeCell ref="B37:H37"/>
    <mergeCell ref="B38:H38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C8C72-4ECE-4EC7-BEE4-3DC4226F16BE}">
  <dimension ref="A1:XFD1002"/>
  <sheetViews>
    <sheetView tabSelected="1" topLeftCell="A7" zoomScale="110" zoomScaleNormal="110" workbookViewId="0">
      <selection activeCell="J25" sqref="J25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176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174</v>
      </c>
      <c r="C9" s="61"/>
      <c r="D9" s="61"/>
      <c r="E9" s="61"/>
      <c r="F9" s="61"/>
      <c r="G9" s="61"/>
      <c r="H9" s="12">
        <v>796.26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46113</v>
      </c>
      <c r="C10" s="13" t="s">
        <v>8</v>
      </c>
      <c r="D10" s="23">
        <f>38436.15+1859.2</f>
        <v>40295.35</v>
      </c>
      <c r="E10" s="23">
        <f>D10-F10</f>
        <v>30221.512499999997</v>
      </c>
      <c r="F10" s="23">
        <f>+D10*0.25</f>
        <v>10073.8375</v>
      </c>
      <c r="G10" s="23">
        <f>9609.01+464.8</f>
        <v>10073.81</v>
      </c>
      <c r="H10" s="12">
        <f>H9+F10-G10</f>
        <v>796.28750000000036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0">B10+(MOD(B10,7)=6)*2+1</f>
        <v>46114</v>
      </c>
      <c r="C11" s="13" t="s">
        <v>8</v>
      </c>
      <c r="D11" s="23">
        <f>9905.34+531.2+132.8</f>
        <v>10569.34</v>
      </c>
      <c r="E11" s="23">
        <f t="shared" ref="E11:E32" si="1">D11-F11</f>
        <v>7927.0050000000001</v>
      </c>
      <c r="F11" s="23">
        <f>+D11*0.25</f>
        <v>2642.335</v>
      </c>
      <c r="G11" s="23">
        <f>2476.27+166</f>
        <v>2642.27</v>
      </c>
      <c r="H11" s="12">
        <f t="shared" ref="H11:H33" si="2">H10+F11-G11</f>
        <v>796.35250000000042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46115</v>
      </c>
      <c r="C12" s="13" t="s">
        <v>8</v>
      </c>
      <c r="D12" s="23">
        <v>0</v>
      </c>
      <c r="E12" s="23">
        <f t="shared" si="1"/>
        <v>0</v>
      </c>
      <c r="F12" s="23">
        <f t="shared" ref="F12:F32" si="3">+D12*0.25</f>
        <v>0</v>
      </c>
      <c r="G12" s="23">
        <v>0</v>
      </c>
      <c r="H12" s="12">
        <f t="shared" si="2"/>
        <v>796.35250000000042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46118</v>
      </c>
      <c r="C13" s="13" t="s">
        <v>8</v>
      </c>
      <c r="D13" s="23">
        <f>1781.51+2675.2</f>
        <v>4456.71</v>
      </c>
      <c r="E13" s="23">
        <f>D13-F13</f>
        <v>3342.5325000000003</v>
      </c>
      <c r="F13" s="23">
        <f>+D13*0.25</f>
        <v>1114.1775</v>
      </c>
      <c r="G13" s="23">
        <f>445.37+668.8</f>
        <v>1114.17</v>
      </c>
      <c r="H13" s="12">
        <f>H12+F13-G13</f>
        <v>796.36000000000035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46119</v>
      </c>
      <c r="C14" s="13" t="s">
        <v>8</v>
      </c>
      <c r="D14" s="23">
        <f>4308.58+4625.01</f>
        <v>8933.59</v>
      </c>
      <c r="E14" s="23">
        <f t="shared" si="1"/>
        <v>6700.1925000000001</v>
      </c>
      <c r="F14" s="23">
        <f t="shared" si="3"/>
        <v>2233.3975</v>
      </c>
      <c r="G14" s="23">
        <f>1077.13+1156.24</f>
        <v>2233.37</v>
      </c>
      <c r="H14" s="12">
        <f t="shared" si="2"/>
        <v>796.38750000000073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46120</v>
      </c>
      <c r="C15" s="13" t="s">
        <v>8</v>
      </c>
      <c r="D15" s="23">
        <f>4519.87+2133.6</f>
        <v>6653.4699999999993</v>
      </c>
      <c r="E15" s="23">
        <f t="shared" si="1"/>
        <v>4990.1024999999991</v>
      </c>
      <c r="F15" s="23">
        <f t="shared" si="3"/>
        <v>1663.3674999999998</v>
      </c>
      <c r="G15" s="23">
        <f>1129.95+533.4</f>
        <v>1663.35</v>
      </c>
      <c r="H15" s="12">
        <f t="shared" si="2"/>
        <v>796.40500000000065</v>
      </c>
      <c r="I15" s="2"/>
      <c r="J15" s="2"/>
      <c r="K15" s="2"/>
      <c r="L15" s="2" t="s">
        <v>179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>B15+(MOD(B15,7)=6)*2+1</f>
        <v>46121</v>
      </c>
      <c r="C16" s="13" t="s">
        <v>8</v>
      </c>
      <c r="D16" s="23">
        <f>5691.54+2214</f>
        <v>7905.54</v>
      </c>
      <c r="E16" s="23">
        <f t="shared" si="1"/>
        <v>5929.1549999999997</v>
      </c>
      <c r="F16" s="23">
        <f t="shared" si="3"/>
        <v>1976.385</v>
      </c>
      <c r="G16" s="23">
        <f>1422.88+553.5</f>
        <v>1976.38</v>
      </c>
      <c r="H16" s="12">
        <f t="shared" si="2"/>
        <v>796.41000000000076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>B16+(MOD(B16,7)=6)*2+1</f>
        <v>46122</v>
      </c>
      <c r="C17" s="13" t="s">
        <v>8</v>
      </c>
      <c r="D17" s="23">
        <f>6803.69+2464.8</f>
        <v>9268.49</v>
      </c>
      <c r="E17" s="23">
        <f t="shared" si="1"/>
        <v>6951.3675000000003</v>
      </c>
      <c r="F17" s="23">
        <f t="shared" si="3"/>
        <v>2317.1224999999999</v>
      </c>
      <c r="G17" s="23">
        <f>1700.92+616.2</f>
        <v>2317.12</v>
      </c>
      <c r="H17" s="12">
        <f t="shared" si="2"/>
        <v>796.41250000000082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46125</v>
      </c>
      <c r="C18" s="13" t="s">
        <v>8</v>
      </c>
      <c r="D18" s="23">
        <f>3003.34+664</f>
        <v>3667.34</v>
      </c>
      <c r="E18" s="23">
        <f t="shared" si="1"/>
        <v>2750.5050000000001</v>
      </c>
      <c r="F18" s="23">
        <f t="shared" si="3"/>
        <v>916.83500000000004</v>
      </c>
      <c r="G18" s="23">
        <f>750.83+166</f>
        <v>916.83</v>
      </c>
      <c r="H18" s="12">
        <f t="shared" si="2"/>
        <v>796.41750000000081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46126</v>
      </c>
      <c r="C19" s="13" t="s">
        <v>8</v>
      </c>
      <c r="D19" s="23">
        <f>970.52+556.8</f>
        <v>1527.32</v>
      </c>
      <c r="E19" s="23">
        <f t="shared" si="1"/>
        <v>1145.49</v>
      </c>
      <c r="F19" s="23">
        <f t="shared" si="3"/>
        <v>381.83</v>
      </c>
      <c r="G19" s="23">
        <f>242.62+139.2</f>
        <v>381.82</v>
      </c>
      <c r="H19" s="12">
        <f t="shared" si="2"/>
        <v>796.42750000000092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46127</v>
      </c>
      <c r="C20" s="13" t="s">
        <v>8</v>
      </c>
      <c r="D20" s="23">
        <f>4889.73+1258</f>
        <v>6147.73</v>
      </c>
      <c r="E20" s="23">
        <f t="shared" si="1"/>
        <v>4610.7974999999997</v>
      </c>
      <c r="F20" s="23">
        <f t="shared" si="3"/>
        <v>1536.9324999999999</v>
      </c>
      <c r="G20" s="23">
        <f>1222.4+314.5</f>
        <v>1536.9</v>
      </c>
      <c r="H20" s="12">
        <f t="shared" si="2"/>
        <v>796.46000000000049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46128</v>
      </c>
      <c r="C21" s="13" t="s">
        <v>8</v>
      </c>
      <c r="D21" s="23">
        <f>5734.25+3117.5</f>
        <v>8851.75</v>
      </c>
      <c r="E21" s="23">
        <f t="shared" si="1"/>
        <v>6638.8125</v>
      </c>
      <c r="F21" s="23">
        <f t="shared" si="3"/>
        <v>2212.9375</v>
      </c>
      <c r="G21" s="23">
        <f>1433.55+779.37</f>
        <v>2212.92</v>
      </c>
      <c r="H21" s="12">
        <f t="shared" si="2"/>
        <v>796.47750000000042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46129</v>
      </c>
      <c r="C22" s="13" t="s">
        <v>8</v>
      </c>
      <c r="D22" s="23">
        <f>2375.37+3036.8</f>
        <v>5412.17</v>
      </c>
      <c r="E22" s="23">
        <f t="shared" si="1"/>
        <v>4059.1275000000001</v>
      </c>
      <c r="F22" s="23">
        <f t="shared" si="3"/>
        <v>1353.0425</v>
      </c>
      <c r="G22" s="23">
        <f>593.84+759.2</f>
        <v>1353.04</v>
      </c>
      <c r="H22" s="12">
        <f t="shared" si="2"/>
        <v>796.48000000000047</v>
      </c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46132</v>
      </c>
      <c r="C23" s="13" t="s">
        <v>8</v>
      </c>
      <c r="D23" s="23">
        <f>2313+1550</f>
        <v>3863</v>
      </c>
      <c r="E23" s="23">
        <f t="shared" si="1"/>
        <v>2897.25</v>
      </c>
      <c r="F23" s="23">
        <f t="shared" si="3"/>
        <v>965.75</v>
      </c>
      <c r="G23" s="23">
        <f>578.25+387.5</f>
        <v>965.75</v>
      </c>
      <c r="H23" s="12">
        <f t="shared" si="2"/>
        <v>796.48000000000047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 t="shared" si="0"/>
        <v>46133</v>
      </c>
      <c r="C24" s="13" t="s">
        <v>8</v>
      </c>
      <c r="D24" s="23">
        <v>0</v>
      </c>
      <c r="E24" s="23">
        <f t="shared" si="1"/>
        <v>0</v>
      </c>
      <c r="F24" s="23">
        <f t="shared" si="3"/>
        <v>0</v>
      </c>
      <c r="G24" s="23">
        <v>0</v>
      </c>
      <c r="H24" s="12">
        <f t="shared" si="2"/>
        <v>796.48000000000047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46134</v>
      </c>
      <c r="C25" s="13" t="s">
        <v>8</v>
      </c>
      <c r="D25" s="23">
        <f>3319.62+2004.66</f>
        <v>5324.28</v>
      </c>
      <c r="E25" s="23">
        <f t="shared" si="1"/>
        <v>3993.21</v>
      </c>
      <c r="F25" s="23">
        <f t="shared" si="3"/>
        <v>1331.07</v>
      </c>
      <c r="G25" s="23">
        <f>829.9+501.16</f>
        <v>1331.06</v>
      </c>
      <c r="H25" s="12">
        <f t="shared" si="2"/>
        <v>796.49000000000024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46135</v>
      </c>
      <c r="C26" s="13" t="s">
        <v>8</v>
      </c>
      <c r="D26" s="23">
        <f>2268.53+3884.8</f>
        <v>6153.33</v>
      </c>
      <c r="E26" s="23">
        <f t="shared" si="1"/>
        <v>4614.9974999999995</v>
      </c>
      <c r="F26" s="23">
        <f t="shared" si="3"/>
        <v>1538.3325</v>
      </c>
      <c r="G26" s="23">
        <f>567.13+971.2</f>
        <v>1538.33</v>
      </c>
      <c r="H26" s="12">
        <f t="shared" si="2"/>
        <v>796.49250000000029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46136</v>
      </c>
      <c r="C27" s="13" t="s">
        <v>8</v>
      </c>
      <c r="D27" s="23">
        <f>4429.91+1884.62</f>
        <v>6314.53</v>
      </c>
      <c r="E27" s="23">
        <f>D27-F27</f>
        <v>4735.8975</v>
      </c>
      <c r="F27" s="23">
        <f t="shared" si="3"/>
        <v>1578.6324999999999</v>
      </c>
      <c r="G27" s="23">
        <f>1107.46+471.15</f>
        <v>1578.6100000000001</v>
      </c>
      <c r="H27" s="12">
        <f t="shared" si="2"/>
        <v>796.51499999999987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46139</v>
      </c>
      <c r="C28" s="13" t="s">
        <v>8</v>
      </c>
      <c r="D28" s="23">
        <f>3318.92+1763.6</f>
        <v>5082.5200000000004</v>
      </c>
      <c r="E28" s="23">
        <f t="shared" si="1"/>
        <v>3811.8900000000003</v>
      </c>
      <c r="F28" s="23">
        <f t="shared" si="3"/>
        <v>1270.6300000000001</v>
      </c>
      <c r="G28" s="23">
        <f>829.72+440.9</f>
        <v>1270.6199999999999</v>
      </c>
      <c r="H28" s="12">
        <f>H27+F28-G28</f>
        <v>796.52500000000009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58371.185000000005</v>
      </c>
    </row>
    <row r="29" spans="1:26 16384:16384" x14ac:dyDescent="0.25">
      <c r="A29" s="32"/>
      <c r="B29" s="22">
        <f t="shared" si="0"/>
        <v>46140</v>
      </c>
      <c r="C29" s="13" t="s">
        <v>8</v>
      </c>
      <c r="D29" s="38">
        <f>7340.69+2505.92</f>
        <v>9846.61</v>
      </c>
      <c r="E29" s="23">
        <f t="shared" si="1"/>
        <v>7384.9575000000004</v>
      </c>
      <c r="F29" s="23">
        <f t="shared" si="3"/>
        <v>2461.6525000000001</v>
      </c>
      <c r="G29" s="23">
        <f>1835.17+626.48</f>
        <v>2461.65</v>
      </c>
      <c r="H29" s="12">
        <f t="shared" si="2"/>
        <v>796.52750000000015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x14ac:dyDescent="0.25">
      <c r="A30" s="32"/>
      <c r="B30" s="22">
        <f t="shared" si="0"/>
        <v>46141</v>
      </c>
      <c r="C30" s="13" t="s">
        <v>8</v>
      </c>
      <c r="D30" s="38">
        <f>3246.4+2531.6</f>
        <v>5778</v>
      </c>
      <c r="E30" s="23">
        <f t="shared" si="1"/>
        <v>4333.5</v>
      </c>
      <c r="F30" s="23">
        <f t="shared" si="3"/>
        <v>1444.5</v>
      </c>
      <c r="G30" s="38">
        <f>811.59+632.9</f>
        <v>1444.49</v>
      </c>
      <c r="H30" s="12">
        <f t="shared" si="2"/>
        <v>796.53750000000014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46142</v>
      </c>
      <c r="C31" s="13" t="s">
        <v>8</v>
      </c>
      <c r="D31" s="38">
        <f>11952.46+8969.72</f>
        <v>20922.18</v>
      </c>
      <c r="E31" s="23">
        <f t="shared" si="1"/>
        <v>15691.635</v>
      </c>
      <c r="F31" s="23">
        <f t="shared" si="3"/>
        <v>5230.5450000000001</v>
      </c>
      <c r="G31" s="38">
        <f>2988.09+2207.37</f>
        <v>5195.46</v>
      </c>
      <c r="H31" s="12">
        <f>H30+F31-G31</f>
        <v>831.6225000000004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 t="s">
        <v>37</v>
      </c>
      <c r="B32" s="48">
        <v>46121</v>
      </c>
      <c r="C32" s="49" t="s">
        <v>8</v>
      </c>
      <c r="D32" s="91">
        <v>1572.27</v>
      </c>
      <c r="E32" s="50">
        <f t="shared" si="1"/>
        <v>1179.2024999999999</v>
      </c>
      <c r="F32" s="50">
        <f t="shared" si="3"/>
        <v>393.0675</v>
      </c>
      <c r="G32" s="91">
        <v>0</v>
      </c>
      <c r="H32" s="12">
        <f>H31+F32-G32</f>
        <v>1224.6900000000005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52"/>
      <c r="B33" s="22"/>
      <c r="C33" s="13"/>
      <c r="D33" s="38"/>
      <c r="E33" s="23"/>
      <c r="F33" s="23"/>
      <c r="G33" s="38"/>
      <c r="H33" s="12">
        <f t="shared" si="2"/>
        <v>1224.6900000000005</v>
      </c>
      <c r="I33" s="31"/>
      <c r="J33" s="92" t="s">
        <v>178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SUM(D10:D32)</f>
        <v>178545.52</v>
      </c>
      <c r="E34" s="20">
        <f>SUM(E10:E32)</f>
        <v>133909.14000000004</v>
      </c>
      <c r="F34" s="20">
        <f>SUM(F10:F33)</f>
        <v>44636.38</v>
      </c>
      <c r="G34" s="20">
        <f>SUM(G10:G33)</f>
        <v>44207.950000000004</v>
      </c>
      <c r="H34" s="12">
        <f>H33</f>
        <v>1224.6900000000005</v>
      </c>
      <c r="I34" s="16"/>
      <c r="J34" s="93">
        <f>H34-H9</f>
        <v>428.43000000000052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2" t="s">
        <v>10</v>
      </c>
      <c r="C35" s="63"/>
      <c r="D35" s="63"/>
      <c r="E35" s="63"/>
      <c r="F35" s="63"/>
      <c r="G35" s="63"/>
      <c r="H35" s="64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5" t="s">
        <v>177</v>
      </c>
      <c r="C36" s="66"/>
      <c r="D36" s="66"/>
      <c r="E36" s="66"/>
      <c r="F36" s="66"/>
      <c r="G36" s="66"/>
      <c r="H36" s="6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65"/>
      <c r="C37" s="66"/>
      <c r="D37" s="66"/>
      <c r="E37" s="66"/>
      <c r="F37" s="66"/>
      <c r="G37" s="66"/>
      <c r="H37" s="67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33.75" customHeight="1" x14ac:dyDescent="0.25">
      <c r="A38" s="31"/>
      <c r="B38" s="54" t="s">
        <v>175</v>
      </c>
      <c r="C38" s="55"/>
      <c r="D38" s="55"/>
      <c r="E38" s="55"/>
      <c r="F38" s="55"/>
      <c r="G38" s="55"/>
      <c r="H38" s="56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thickBot="1" x14ac:dyDescent="0.3">
      <c r="A39" s="2"/>
      <c r="B39" s="45"/>
      <c r="C39" s="46"/>
      <c r="D39" s="46"/>
      <c r="E39" s="46"/>
      <c r="F39" s="46"/>
      <c r="G39" s="46"/>
      <c r="H39" s="4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6">
    <mergeCell ref="B38:H38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7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25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26</v>
      </c>
      <c r="C9" s="61"/>
      <c r="D9" s="61"/>
      <c r="E9" s="61"/>
      <c r="F9" s="61"/>
      <c r="G9" s="61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74" t="s">
        <v>10</v>
      </c>
      <c r="C38" s="75"/>
      <c r="D38" s="75"/>
      <c r="E38" s="75"/>
      <c r="F38" s="75"/>
      <c r="G38" s="75"/>
      <c r="H38" s="76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68" t="s">
        <v>29</v>
      </c>
      <c r="C39" s="69"/>
      <c r="D39" s="69"/>
      <c r="E39" s="69"/>
      <c r="F39" s="69"/>
      <c r="G39" s="69"/>
      <c r="H39" s="70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77" t="s">
        <v>30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77"/>
      <c r="C41" s="69"/>
      <c r="D41" s="69"/>
      <c r="E41" s="69"/>
      <c r="F41" s="69"/>
      <c r="G41" s="69"/>
      <c r="H41" s="70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8"/>
      <c r="C42" s="69"/>
      <c r="D42" s="69"/>
      <c r="E42" s="69"/>
      <c r="F42" s="69"/>
      <c r="G42" s="69"/>
      <c r="H42" s="70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71"/>
      <c r="C43" s="72"/>
      <c r="D43" s="72"/>
      <c r="E43" s="72"/>
      <c r="F43" s="72"/>
      <c r="G43" s="72"/>
      <c r="H43" s="73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9"/>
  <sheetViews>
    <sheetView topLeftCell="A13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44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32</v>
      </c>
      <c r="C9" s="61"/>
      <c r="D9" s="61"/>
      <c r="E9" s="61"/>
      <c r="F9" s="61"/>
      <c r="G9" s="61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>F30</f>
        <v>1679.17</v>
      </c>
      <c r="H30" s="12">
        <f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>F31</f>
        <v>6331.89</v>
      </c>
      <c r="H31" s="12">
        <f>H30+F31-G31</f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74" t="s">
        <v>10</v>
      </c>
      <c r="C40" s="75"/>
      <c r="D40" s="75"/>
      <c r="E40" s="75"/>
      <c r="F40" s="75"/>
      <c r="G40" s="75"/>
      <c r="H40" s="7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68" t="s">
        <v>35</v>
      </c>
      <c r="C41" s="69"/>
      <c r="D41" s="69"/>
      <c r="E41" s="69"/>
      <c r="F41" s="69"/>
      <c r="G41" s="69"/>
      <c r="H41" s="70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77" t="s">
        <v>38</v>
      </c>
      <c r="C42" s="69"/>
      <c r="D42" s="69"/>
      <c r="E42" s="69"/>
      <c r="F42" s="69"/>
      <c r="G42" s="69"/>
      <c r="H42" s="70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77" t="s">
        <v>36</v>
      </c>
      <c r="C43" s="69"/>
      <c r="D43" s="69"/>
      <c r="E43" s="69"/>
      <c r="F43" s="69"/>
      <c r="G43" s="69"/>
      <c r="H43" s="70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77" t="s">
        <v>39</v>
      </c>
      <c r="C44" s="78"/>
      <c r="D44" s="78"/>
      <c r="E44" s="78"/>
      <c r="F44" s="78"/>
      <c r="G44" s="78"/>
      <c r="H44" s="79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71"/>
      <c r="C45" s="72"/>
      <c r="D45" s="72"/>
      <c r="E45" s="72"/>
      <c r="F45" s="72"/>
      <c r="G45" s="72"/>
      <c r="H45" s="73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57" t="s">
        <v>45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60" t="s">
        <v>49</v>
      </c>
      <c r="C9" s="61"/>
      <c r="D9" s="61"/>
      <c r="E9" s="61"/>
      <c r="F9" s="61"/>
      <c r="G9" s="61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>F30</f>
        <v>0</v>
      </c>
      <c r="H30" s="12">
        <f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>F31</f>
        <v>12273.31</v>
      </c>
      <c r="H31" s="12">
        <f>H30+F31-G31</f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74" t="s">
        <v>10</v>
      </c>
      <c r="C40" s="75"/>
      <c r="D40" s="75"/>
      <c r="E40" s="75"/>
      <c r="F40" s="75"/>
      <c r="G40" s="75"/>
      <c r="H40" s="7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68" t="s">
        <v>41</v>
      </c>
      <c r="C41" s="66"/>
      <c r="D41" s="66"/>
      <c r="E41" s="66"/>
      <c r="F41" s="66"/>
      <c r="G41" s="66"/>
      <c r="H41" s="70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77" t="s">
        <v>40</v>
      </c>
      <c r="C42" s="66"/>
      <c r="D42" s="66"/>
      <c r="E42" s="66"/>
      <c r="F42" s="66"/>
      <c r="G42" s="66"/>
      <c r="H42" s="70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77" t="s">
        <v>43</v>
      </c>
      <c r="C43" s="66"/>
      <c r="D43" s="66"/>
      <c r="E43" s="66"/>
      <c r="F43" s="66"/>
      <c r="G43" s="66"/>
      <c r="H43" s="70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77" t="s">
        <v>42</v>
      </c>
      <c r="C44" s="80"/>
      <c r="D44" s="80"/>
      <c r="E44" s="80"/>
      <c r="F44" s="80"/>
      <c r="G44" s="80"/>
      <c r="H44" s="79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71"/>
      <c r="C45" s="72"/>
      <c r="D45" s="72"/>
      <c r="E45" s="72"/>
      <c r="F45" s="72"/>
      <c r="G45" s="72"/>
      <c r="H45" s="73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57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47</v>
      </c>
      <c r="C9" s="61"/>
      <c r="D9" s="61"/>
      <c r="E9" s="61"/>
      <c r="F9" s="61"/>
      <c r="G9" s="61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>F30</f>
        <v>0</v>
      </c>
      <c r="H30" s="12">
        <f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>F31</f>
        <v>0</v>
      </c>
      <c r="H31" s="12">
        <f>H30+F31-G31</f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74" t="s">
        <v>10</v>
      </c>
      <c r="C40" s="75"/>
      <c r="D40" s="75"/>
      <c r="E40" s="75"/>
      <c r="F40" s="75"/>
      <c r="G40" s="75"/>
      <c r="H40" s="7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68" t="s">
        <v>51</v>
      </c>
      <c r="C41" s="69"/>
      <c r="D41" s="69"/>
      <c r="E41" s="69"/>
      <c r="F41" s="69"/>
      <c r="G41" s="69"/>
      <c r="H41" s="70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77" t="s">
        <v>50</v>
      </c>
      <c r="C42" s="69"/>
      <c r="D42" s="69"/>
      <c r="E42" s="69"/>
      <c r="F42" s="69"/>
      <c r="G42" s="69"/>
      <c r="H42" s="70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77"/>
      <c r="C43" s="69"/>
      <c r="D43" s="69"/>
      <c r="E43" s="69"/>
      <c r="F43" s="69"/>
      <c r="G43" s="69"/>
      <c r="H43" s="70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77"/>
      <c r="C44" s="78"/>
      <c r="D44" s="78"/>
      <c r="E44" s="78"/>
      <c r="F44" s="78"/>
      <c r="G44" s="78"/>
      <c r="H44" s="79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71"/>
      <c r="C45" s="72"/>
      <c r="D45" s="72"/>
      <c r="E45" s="72"/>
      <c r="F45" s="72"/>
      <c r="G45" s="72"/>
      <c r="H45" s="73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6"/>
  <sheetViews>
    <sheetView topLeftCell="A19" zoomScale="120" zoomScaleNormal="12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58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53</v>
      </c>
      <c r="C9" s="61"/>
      <c r="D9" s="61"/>
      <c r="E9" s="61"/>
      <c r="F9" s="61"/>
      <c r="G9" s="61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 t="shared" ref="H29:H35" si="4"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>F30</f>
        <v>767.42</v>
      </c>
      <c r="H30" s="12">
        <f t="shared" si="4"/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>F31</f>
        <v>4220.26</v>
      </c>
      <c r="H31" s="12">
        <f t="shared" si="4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>D32-F32</f>
        <v>18029.96</v>
      </c>
      <c r="F32" s="25">
        <v>6009.73</v>
      </c>
      <c r="G32" s="23">
        <f>F32</f>
        <v>6009.73</v>
      </c>
      <c r="H32" s="12">
        <f t="shared" si="4"/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>D33-F33</f>
        <v>0</v>
      </c>
      <c r="F33" s="25">
        <v>0</v>
      </c>
      <c r="G33" s="23">
        <v>4002.73</v>
      </c>
      <c r="H33" s="12">
        <f t="shared" si="4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>D34-F34</f>
        <v>17984.080000000002</v>
      </c>
      <c r="F34" s="25">
        <v>5994.69</v>
      </c>
      <c r="G34" s="23">
        <v>0</v>
      </c>
      <c r="H34" s="12">
        <f t="shared" si="4"/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>D35*25%</f>
        <v>0</v>
      </c>
      <c r="G35" s="23">
        <f t="shared" si="1"/>
        <v>0</v>
      </c>
      <c r="H35" s="12">
        <f t="shared" si="4"/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4" t="s">
        <v>10</v>
      </c>
      <c r="C37" s="75"/>
      <c r="D37" s="75"/>
      <c r="E37" s="75"/>
      <c r="F37" s="75"/>
      <c r="G37" s="75"/>
      <c r="H37" s="7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8" t="s">
        <v>54</v>
      </c>
      <c r="C38" s="69"/>
      <c r="D38" s="69"/>
      <c r="E38" s="69"/>
      <c r="F38" s="69"/>
      <c r="G38" s="69"/>
      <c r="H38" s="70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77" t="s">
        <v>55</v>
      </c>
      <c r="C39" s="66"/>
      <c r="D39" s="66"/>
      <c r="E39" s="66"/>
      <c r="F39" s="66"/>
      <c r="G39" s="66"/>
      <c r="H39" s="70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77" t="s">
        <v>56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77"/>
      <c r="C41" s="78"/>
      <c r="D41" s="78"/>
      <c r="E41" s="78"/>
      <c r="F41" s="78"/>
      <c r="G41" s="78"/>
      <c r="H41" s="7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71"/>
      <c r="C42" s="72"/>
      <c r="D42" s="72"/>
      <c r="E42" s="72"/>
      <c r="F42" s="72"/>
      <c r="G42" s="72"/>
      <c r="H42" s="73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6"/>
  <sheetViews>
    <sheetView topLeftCell="A19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59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61</v>
      </c>
      <c r="C9" s="61"/>
      <c r="D9" s="61"/>
      <c r="E9" s="61"/>
      <c r="F9" s="61"/>
      <c r="G9" s="61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 t="shared" ref="H29:H35" si="4"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>F30</f>
        <v>2610.13</v>
      </c>
      <c r="H30" s="12">
        <f t="shared" si="4"/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>F31</f>
        <v>3591.29</v>
      </c>
      <c r="H31" s="12">
        <f t="shared" si="4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>F32</f>
        <v>0</v>
      </c>
      <c r="H32" s="12">
        <f t="shared" si="4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 t="shared" si="4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 t="shared" si="4"/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>D35*25%</f>
        <v>0</v>
      </c>
      <c r="G35" s="23">
        <f t="shared" si="1"/>
        <v>0</v>
      </c>
      <c r="H35" s="12">
        <f t="shared" si="4"/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4" t="s">
        <v>10</v>
      </c>
      <c r="C37" s="75"/>
      <c r="D37" s="75"/>
      <c r="E37" s="75"/>
      <c r="F37" s="75"/>
      <c r="G37" s="75"/>
      <c r="H37" s="7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8" t="s">
        <v>62</v>
      </c>
      <c r="C38" s="69"/>
      <c r="D38" s="69"/>
      <c r="E38" s="69"/>
      <c r="F38" s="69"/>
      <c r="G38" s="69"/>
      <c r="H38" s="70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77" t="s">
        <v>63</v>
      </c>
      <c r="C39" s="66"/>
      <c r="D39" s="66"/>
      <c r="E39" s="66"/>
      <c r="F39" s="66"/>
      <c r="G39" s="66"/>
      <c r="H39" s="70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77" t="s">
        <v>64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77"/>
      <c r="C41" s="78"/>
      <c r="D41" s="78"/>
      <c r="E41" s="78"/>
      <c r="F41" s="78"/>
      <c r="G41" s="78"/>
      <c r="H41" s="7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71"/>
      <c r="C42" s="72"/>
      <c r="D42" s="72"/>
      <c r="E42" s="72"/>
      <c r="F42" s="72"/>
      <c r="G42" s="72"/>
      <c r="H42" s="73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57" t="s">
        <v>70</v>
      </c>
      <c r="C7" s="58"/>
      <c r="D7" s="58"/>
      <c r="E7" s="58"/>
      <c r="F7" s="58"/>
      <c r="G7" s="58"/>
      <c r="H7" s="5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0" t="s">
        <v>66</v>
      </c>
      <c r="C9" s="61"/>
      <c r="D9" s="61"/>
      <c r="E9" s="61"/>
      <c r="F9" s="61"/>
      <c r="G9" s="61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 t="shared" ref="H29:H35" si="4"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>F30</f>
        <v>1246.8800000000001</v>
      </c>
      <c r="H30" s="12">
        <f t="shared" si="4"/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>F31</f>
        <v>0</v>
      </c>
      <c r="H31" s="12">
        <f t="shared" si="4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>F32</f>
        <v>0</v>
      </c>
      <c r="H32" s="12">
        <f t="shared" si="4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 t="shared" si="4"/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 t="shared" si="4"/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>D35*25%</f>
        <v>0</v>
      </c>
      <c r="G35" s="23">
        <f t="shared" si="0"/>
        <v>0</v>
      </c>
      <c r="H35" s="12">
        <f t="shared" si="4"/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4" t="s">
        <v>10</v>
      </c>
      <c r="C37" s="75"/>
      <c r="D37" s="75"/>
      <c r="E37" s="75"/>
      <c r="F37" s="75"/>
      <c r="G37" s="75"/>
      <c r="H37" s="7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8" t="s">
        <v>67</v>
      </c>
      <c r="C38" s="69"/>
      <c r="D38" s="69"/>
      <c r="E38" s="69"/>
      <c r="F38" s="69"/>
      <c r="G38" s="69"/>
      <c r="H38" s="70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77" t="s">
        <v>68</v>
      </c>
      <c r="C39" s="66"/>
      <c r="D39" s="66"/>
      <c r="E39" s="66"/>
      <c r="F39" s="66"/>
      <c r="G39" s="66"/>
      <c r="H39" s="70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77" t="s">
        <v>69</v>
      </c>
      <c r="C40" s="69"/>
      <c r="D40" s="69"/>
      <c r="E40" s="69"/>
      <c r="F40" s="69"/>
      <c r="G40" s="69"/>
      <c r="H40" s="70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77"/>
      <c r="C41" s="78"/>
      <c r="D41" s="78"/>
      <c r="E41" s="78"/>
      <c r="F41" s="78"/>
      <c r="G41" s="78"/>
      <c r="H41" s="79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71"/>
      <c r="C42" s="72"/>
      <c r="D42" s="72"/>
      <c r="E42" s="72"/>
      <c r="F42" s="72"/>
      <c r="G42" s="72"/>
      <c r="H42" s="73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27</vt:i4>
      </vt:variant>
    </vt:vector>
  </HeadingPairs>
  <TitlesOfParts>
    <vt:vector size="55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11-2025</vt:lpstr>
      <vt:lpstr>12-2025</vt:lpstr>
      <vt:lpstr>01-2026</vt:lpstr>
      <vt:lpstr>02-2026</vt:lpstr>
      <vt:lpstr>03-2026</vt:lpstr>
      <vt:lpstr>04-2026</vt:lpstr>
      <vt:lpstr>'01-2024'!Area_de_impressao</vt:lpstr>
      <vt:lpstr>'01-2025'!Area_de_impressao</vt:lpstr>
      <vt:lpstr>'01-2026'!Area_de_impressao</vt:lpstr>
      <vt:lpstr>'02-2025'!Area_de_impressao</vt:lpstr>
      <vt:lpstr>'02-2026'!Area_de_impressao</vt:lpstr>
      <vt:lpstr>'03-2024'!Area_de_impressao</vt:lpstr>
      <vt:lpstr>'03-2025'!Area_de_impressao</vt:lpstr>
      <vt:lpstr>'03-2026'!Area_de_impressao</vt:lpstr>
      <vt:lpstr>'04-2024'!Area_de_impressao</vt:lpstr>
      <vt:lpstr>'04-2025'!Area_de_impressao</vt:lpstr>
      <vt:lpstr>'04-2026'!Area_de_impressao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'11-2025'!Area_de_impressao</vt:lpstr>
      <vt:lpstr>'12-2024'!Area_de_impressao</vt:lpstr>
      <vt:lpstr>'12-2025'!Area_de_impressao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Licenca02</cp:lastModifiedBy>
  <cp:lastPrinted>2025-11-26T12:59:00Z</cp:lastPrinted>
  <dcterms:created xsi:type="dcterms:W3CDTF">2012-01-17T12:10:04Z</dcterms:created>
  <dcterms:modified xsi:type="dcterms:W3CDTF">2026-05-15T12:32:34Z</dcterms:modified>
</cp:coreProperties>
</file>