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16 - CRMV-ES\1_Depto Contábil\2026\06.26\1. Demonstrativos 06-2026\"/>
    </mc:Choice>
  </mc:AlternateContent>
  <xr:revisionPtr revIDLastSave="0" documentId="13_ncr:1_{9A228268-17D6-4CC5-A16F-4B8A08545824}" xr6:coauthVersionLast="47" xr6:coauthVersionMax="47" xr10:uidLastSave="{00000000-0000-0000-0000-000000000000}"/>
  <bookViews>
    <workbookView xWindow="38280" yWindow="-120" windowWidth="21840" windowHeight="13140" tabRatio="918" firstSheet="21" activeTab="29" xr2:uid="{00000000-000D-0000-FFFF-FFFF00000000}"/>
  </bookViews>
  <sheets>
    <sheet name="01-2024" sheetId="13" r:id="rId1"/>
    <sheet name="02-2024" sheetId="14" r:id="rId2"/>
    <sheet name="03-2024" sheetId="15" r:id="rId3"/>
    <sheet name="04-2024" sheetId="16" r:id="rId4"/>
    <sheet name="05-2024" sheetId="17" r:id="rId5"/>
    <sheet name="06-2024" sheetId="18" r:id="rId6"/>
    <sheet name="07-2024" sheetId="19" r:id="rId7"/>
    <sheet name="08-2024" sheetId="20" r:id="rId8"/>
    <sheet name="09-2024" sheetId="21" r:id="rId9"/>
    <sheet name="10-2024" sheetId="22" r:id="rId10"/>
    <sheet name="11-2024" sheetId="23" r:id="rId11"/>
    <sheet name="12-2024" sheetId="24" r:id="rId12"/>
    <sheet name="01-2025" sheetId="25" r:id="rId13"/>
    <sheet name="02-2025" sheetId="26" r:id="rId14"/>
    <sheet name="03-2025" sheetId="27" r:id="rId15"/>
    <sheet name="04-2025" sheetId="28" r:id="rId16"/>
    <sheet name="05-2025" sheetId="29" r:id="rId17"/>
    <sheet name="06-2025" sheetId="30" r:id="rId18"/>
    <sheet name="07-2025" sheetId="31" r:id="rId19"/>
    <sheet name="08-2025" sheetId="32" r:id="rId20"/>
    <sheet name="09-2025" sheetId="33" r:id="rId21"/>
    <sheet name="10-2025" sheetId="34" r:id="rId22"/>
    <sheet name="11-2025" sheetId="35" r:id="rId23"/>
    <sheet name="12-2025" sheetId="36" r:id="rId24"/>
    <sheet name="01-2026" sheetId="39" r:id="rId25"/>
    <sheet name="02-2026" sheetId="40" r:id="rId26"/>
    <sheet name="03-2026" sheetId="41" r:id="rId27"/>
    <sheet name="04-2026" sheetId="42" r:id="rId28"/>
    <sheet name="05-2026" sheetId="43" r:id="rId29"/>
    <sheet name="06-2026" sheetId="44" r:id="rId30"/>
  </sheets>
  <definedNames>
    <definedName name="_xlnm.Print_Area" localSheetId="0">'01-2024'!$A$1:$I$46</definedName>
    <definedName name="_xlnm.Print_Area" localSheetId="12">'01-2025'!$A$1:$H$36</definedName>
    <definedName name="_xlnm.Print_Area" localSheetId="24">'01-2026'!$A$1:$H$40</definedName>
    <definedName name="_xlnm.Print_Area" localSheetId="13">'02-2025'!$A$1:$H$38</definedName>
    <definedName name="_xlnm.Print_Area" localSheetId="25">'02-2026'!$A$1:$H$38</definedName>
    <definedName name="_xlnm.Print_Area" localSheetId="2">'03-2024'!$A$1:$H$44</definedName>
    <definedName name="_xlnm.Print_Area" localSheetId="14">'03-2025'!$A$1:$H$37</definedName>
    <definedName name="_xlnm.Print_Area" localSheetId="26">'03-2026'!$A$1:$H$43</definedName>
    <definedName name="_xlnm.Print_Area" localSheetId="3">'04-2024'!$A$1:$H$46</definedName>
    <definedName name="_xlnm.Print_Area" localSheetId="15">'04-2025'!$A$1:$H$39</definedName>
    <definedName name="_xlnm.Print_Area" localSheetId="27">'04-2026'!$A$1:$H$39</definedName>
    <definedName name="_xlnm.Print_Area" localSheetId="4">'05-2024'!$A$1:$H$46</definedName>
    <definedName name="_xlnm.Print_Area" localSheetId="16">'05-2025'!$A$1:$H$39</definedName>
    <definedName name="_xlnm.Print_Area" localSheetId="28">'05-2026'!$A$1:$H$37</definedName>
    <definedName name="_xlnm.Print_Area" localSheetId="5">'06-2024'!$A$1:$H$46</definedName>
    <definedName name="_xlnm.Print_Area" localSheetId="17">'06-2025'!$A$1:$H$39</definedName>
    <definedName name="_xlnm.Print_Area" localSheetId="29">'06-2026'!$A$1:$H$39</definedName>
    <definedName name="_xlnm.Print_Area" localSheetId="6">'07-2024'!$A$1:$H$43</definedName>
    <definedName name="_xlnm.Print_Area" localSheetId="18">'07-2025'!$A$1:$H$41</definedName>
    <definedName name="_xlnm.Print_Area" localSheetId="7">'08-2024'!$A$1:$H$43</definedName>
    <definedName name="_xlnm.Print_Area" localSheetId="19">'08-2025'!$A$1:$H$41</definedName>
    <definedName name="_xlnm.Print_Area" localSheetId="8">'09-2024'!$A$1:$H$43</definedName>
    <definedName name="_xlnm.Print_Area" localSheetId="20">'09-2025'!$A$1:$H$41</definedName>
    <definedName name="_xlnm.Print_Area" localSheetId="9">'10-2024'!$A$1:$H$43</definedName>
    <definedName name="_xlnm.Print_Area" localSheetId="21">'10-2025'!$A$1:$H$43</definedName>
    <definedName name="_xlnm.Print_Area" localSheetId="10">'11-2024'!$A$1:$H$43</definedName>
    <definedName name="_xlnm.Print_Area" localSheetId="22">'11-2025'!$A$1:$H$36</definedName>
    <definedName name="_xlnm.Print_Area" localSheetId="11">'12-2024'!$A$1:$H$42</definedName>
    <definedName name="_xlnm.Print_Area" localSheetId="23">'12-2025'!$A$1:$H$40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44" l="1"/>
  <c r="J33" i="44"/>
  <c r="D10" i="44"/>
  <c r="D34" i="44" s="1"/>
  <c r="F33" i="44"/>
  <c r="H11" i="43"/>
  <c r="H32" i="42"/>
  <c r="H17" i="43"/>
  <c r="E33" i="44"/>
  <c r="G32" i="44"/>
  <c r="D32" i="44"/>
  <c r="F32" i="44" s="1"/>
  <c r="E32" i="44" s="1"/>
  <c r="G31" i="44"/>
  <c r="D31" i="44"/>
  <c r="F31" i="44" s="1"/>
  <c r="E31" i="44" s="1"/>
  <c r="G30" i="44"/>
  <c r="D30" i="44"/>
  <c r="F30" i="44" s="1"/>
  <c r="E30" i="44" s="1"/>
  <c r="G29" i="44"/>
  <c r="D29" i="44"/>
  <c r="F29" i="44" s="1"/>
  <c r="G28" i="44"/>
  <c r="D28" i="44"/>
  <c r="F28" i="44" s="1"/>
  <c r="G27" i="44"/>
  <c r="D27" i="44"/>
  <c r="G26" i="44"/>
  <c r="D26" i="44"/>
  <c r="F26" i="44" s="1"/>
  <c r="G25" i="44"/>
  <c r="D25" i="44"/>
  <c r="F25" i="44" s="1"/>
  <c r="G24" i="44"/>
  <c r="D24" i="44"/>
  <c r="G23" i="44"/>
  <c r="D23" i="44"/>
  <c r="F23" i="44" s="1"/>
  <c r="G22" i="44"/>
  <c r="D22" i="44"/>
  <c r="F22" i="44" s="1"/>
  <c r="G21" i="44"/>
  <c r="D21" i="44"/>
  <c r="F21" i="44" s="1"/>
  <c r="G20" i="44"/>
  <c r="D20" i="44"/>
  <c r="F20" i="44" s="1"/>
  <c r="G19" i="44"/>
  <c r="D19" i="44"/>
  <c r="G17" i="44"/>
  <c r="D17" i="44"/>
  <c r="F17" i="44" s="1"/>
  <c r="G16" i="44"/>
  <c r="D16" i="44"/>
  <c r="F16" i="44" s="1"/>
  <c r="G15" i="44"/>
  <c r="D15" i="44"/>
  <c r="F15" i="44" s="1"/>
  <c r="G14" i="44"/>
  <c r="D14" i="44"/>
  <c r="G12" i="44"/>
  <c r="D12" i="44"/>
  <c r="F12" i="44" s="1"/>
  <c r="G11" i="44"/>
  <c r="D11" i="44"/>
  <c r="F11" i="44" s="1"/>
  <c r="E11" i="44" s="1"/>
  <c r="G10" i="44"/>
  <c r="G34" i="44" s="1"/>
  <c r="F24" i="44"/>
  <c r="F13" i="44"/>
  <c r="E13" i="44" s="1"/>
  <c r="B11" i="44"/>
  <c r="B12" i="44" s="1"/>
  <c r="B13" i="44" s="1"/>
  <c r="B14" i="44" s="1"/>
  <c r="B15" i="44" s="1"/>
  <c r="B16" i="44" s="1"/>
  <c r="B17" i="44" s="1"/>
  <c r="B19" i="44" s="1"/>
  <c r="B20" i="44" s="1"/>
  <c r="B21" i="44" s="1"/>
  <c r="B22" i="44" s="1"/>
  <c r="B23" i="44" s="1"/>
  <c r="B24" i="44" s="1"/>
  <c r="B25" i="44" s="1"/>
  <c r="B26" i="44" s="1"/>
  <c r="B27" i="44" s="1"/>
  <c r="B28" i="44" s="1"/>
  <c r="B29" i="44" s="1"/>
  <c r="F10" i="44"/>
  <c r="H10" i="44" s="1"/>
  <c r="H11" i="44" s="1"/>
  <c r="J32" i="43"/>
  <c r="H32" i="43"/>
  <c r="H12" i="43"/>
  <c r="H13" i="43" s="1"/>
  <c r="H14" i="43" s="1"/>
  <c r="H15" i="43" s="1"/>
  <c r="H16" i="43" s="1"/>
  <c r="H18" i="43" s="1"/>
  <c r="H19" i="43" s="1"/>
  <c r="H20" i="43" s="1"/>
  <c r="H21" i="43" s="1"/>
  <c r="H22" i="43" s="1"/>
  <c r="H23" i="43" s="1"/>
  <c r="H24" i="43" s="1"/>
  <c r="H25" i="43" s="1"/>
  <c r="H26" i="43" s="1"/>
  <c r="H27" i="43" s="1"/>
  <c r="H28" i="43" s="1"/>
  <c r="H29" i="43" s="1"/>
  <c r="H30" i="43" s="1"/>
  <c r="H31" i="43" s="1"/>
  <c r="F17" i="43"/>
  <c r="E17" i="43"/>
  <c r="F32" i="42"/>
  <c r="D31" i="43"/>
  <c r="D18" i="43"/>
  <c r="F27" i="44" l="1"/>
  <c r="E27" i="44" s="1"/>
  <c r="F19" i="44"/>
  <c r="E19" i="44" s="1"/>
  <c r="E23" i="44"/>
  <c r="E16" i="44"/>
  <c r="E21" i="44"/>
  <c r="E25" i="44"/>
  <c r="E29" i="44"/>
  <c r="E10" i="44"/>
  <c r="E15" i="44"/>
  <c r="B30" i="44"/>
  <c r="B31" i="44" s="1"/>
  <c r="B32" i="44" s="1"/>
  <c r="E12" i="44"/>
  <c r="F14" i="44"/>
  <c r="E17" i="44"/>
  <c r="E20" i="44"/>
  <c r="E22" i="44"/>
  <c r="E24" i="44"/>
  <c r="E26" i="44"/>
  <c r="E28" i="44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G18" i="43"/>
  <c r="G16" i="43"/>
  <c r="G15" i="43"/>
  <c r="G14" i="43"/>
  <c r="G13" i="43"/>
  <c r="G12" i="43"/>
  <c r="G10" i="43"/>
  <c r="D30" i="43"/>
  <c r="D29" i="43"/>
  <c r="D28" i="43"/>
  <c r="D27" i="43"/>
  <c r="D26" i="43"/>
  <c r="D25" i="43"/>
  <c r="D24" i="43"/>
  <c r="D23" i="43"/>
  <c r="D22" i="43"/>
  <c r="D21" i="43"/>
  <c r="D20" i="43"/>
  <c r="D19" i="43"/>
  <c r="D16" i="43"/>
  <c r="D15" i="43"/>
  <c r="D14" i="43"/>
  <c r="D13" i="43"/>
  <c r="D12" i="43"/>
  <c r="D10" i="43"/>
  <c r="D32" i="43"/>
  <c r="B12" i="43"/>
  <c r="B13" i="43" s="1"/>
  <c r="B14" i="43" s="1"/>
  <c r="B15" i="43" s="1"/>
  <c r="B16" i="43" s="1"/>
  <c r="B18" i="43" s="1"/>
  <c r="B19" i="43" s="1"/>
  <c r="B20" i="43" s="1"/>
  <c r="B21" i="43" s="1"/>
  <c r="B22" i="43" s="1"/>
  <c r="B23" i="43" s="1"/>
  <c r="B24" i="43" s="1"/>
  <c r="B25" i="43" s="1"/>
  <c r="B26" i="43" s="1"/>
  <c r="B27" i="43" s="1"/>
  <c r="B28" i="43" s="1"/>
  <c r="B29" i="43" s="1"/>
  <c r="B30" i="43" s="1"/>
  <c r="F10" i="43"/>
  <c r="F34" i="42"/>
  <c r="D34" i="42"/>
  <c r="G31" i="42"/>
  <c r="D31" i="42"/>
  <c r="H34" i="41"/>
  <c r="E14" i="44" l="1"/>
  <c r="E34" i="44" s="1"/>
  <c r="F34" i="44"/>
  <c r="H12" i="44"/>
  <c r="H13" i="44" s="1"/>
  <c r="H14" i="44" s="1"/>
  <c r="H15" i="44" s="1"/>
  <c r="G32" i="43"/>
  <c r="F31" i="43"/>
  <c r="F30" i="43"/>
  <c r="E30" i="43" s="1"/>
  <c r="F29" i="43"/>
  <c r="F28" i="43"/>
  <c r="E28" i="43" s="1"/>
  <c r="F27" i="43"/>
  <c r="F26" i="43"/>
  <c r="E26" i="43" s="1"/>
  <c r="F25" i="43"/>
  <c r="E25" i="43" s="1"/>
  <c r="F24" i="43"/>
  <c r="F23" i="43"/>
  <c r="E23" i="43" s="1"/>
  <c r="F22" i="43"/>
  <c r="F21" i="43"/>
  <c r="E21" i="43" s="1"/>
  <c r="F20" i="43"/>
  <c r="F19" i="43"/>
  <c r="E19" i="43" s="1"/>
  <c r="F18" i="43"/>
  <c r="E18" i="43" s="1"/>
  <c r="F16" i="43"/>
  <c r="E16" i="43" s="1"/>
  <c r="F15" i="43"/>
  <c r="F14" i="43"/>
  <c r="E14" i="43" s="1"/>
  <c r="F13" i="43"/>
  <c r="E13" i="43" s="1"/>
  <c r="F12" i="43"/>
  <c r="H10" i="43"/>
  <c r="E10" i="43"/>
  <c r="B31" i="43"/>
  <c r="E12" i="43"/>
  <c r="F34" i="41"/>
  <c r="H16" i="44" l="1"/>
  <c r="H17" i="44" s="1"/>
  <c r="E31" i="43"/>
  <c r="E29" i="43"/>
  <c r="E27" i="43"/>
  <c r="E24" i="43"/>
  <c r="E22" i="43"/>
  <c r="E20" i="43"/>
  <c r="E15" i="43"/>
  <c r="E32" i="43" s="1"/>
  <c r="F32" i="43"/>
  <c r="G30" i="42"/>
  <c r="D30" i="42"/>
  <c r="F30" i="42" s="1"/>
  <c r="G29" i="42"/>
  <c r="D29" i="42"/>
  <c r="F29" i="42" s="1"/>
  <c r="E29" i="42" s="1"/>
  <c r="G28" i="42"/>
  <c r="D28" i="42"/>
  <c r="F28" i="42" s="1"/>
  <c r="E28" i="42" s="1"/>
  <c r="G27" i="42"/>
  <c r="D27" i="42"/>
  <c r="F27" i="42" s="1"/>
  <c r="G26" i="42"/>
  <c r="D26" i="42"/>
  <c r="F26" i="42" s="1"/>
  <c r="E26" i="42" s="1"/>
  <c r="G25" i="42"/>
  <c r="D25" i="42"/>
  <c r="F25" i="42" s="1"/>
  <c r="G23" i="42"/>
  <c r="D23" i="42"/>
  <c r="F23" i="42" s="1"/>
  <c r="G22" i="42"/>
  <c r="D22" i="42"/>
  <c r="F22" i="42" s="1"/>
  <c r="E22" i="42" s="1"/>
  <c r="G21" i="42"/>
  <c r="D21" i="42"/>
  <c r="F21" i="42" s="1"/>
  <c r="G20" i="42"/>
  <c r="D20" i="42"/>
  <c r="F20" i="42" s="1"/>
  <c r="E20" i="42" s="1"/>
  <c r="G19" i="42"/>
  <c r="D19" i="42"/>
  <c r="F19" i="42" s="1"/>
  <c r="G18" i="42"/>
  <c r="D18" i="42"/>
  <c r="F18" i="42" s="1"/>
  <c r="E18" i="42" s="1"/>
  <c r="G17" i="42"/>
  <c r="D17" i="42"/>
  <c r="F17" i="42" s="1"/>
  <c r="G16" i="42"/>
  <c r="D16" i="42"/>
  <c r="F16" i="42" s="1"/>
  <c r="E16" i="42" s="1"/>
  <c r="G15" i="42"/>
  <c r="D15" i="42"/>
  <c r="F15" i="42" s="1"/>
  <c r="G14" i="42"/>
  <c r="D14" i="42"/>
  <c r="F14" i="42" s="1"/>
  <c r="E14" i="42" s="1"/>
  <c r="G13" i="42"/>
  <c r="D13" i="42"/>
  <c r="F13" i="42" s="1"/>
  <c r="G11" i="42"/>
  <c r="D11" i="42"/>
  <c r="F11" i="42" s="1"/>
  <c r="E11" i="42" s="1"/>
  <c r="G10" i="42"/>
  <c r="D10" i="42"/>
  <c r="F10" i="42" s="1"/>
  <c r="E32" i="42"/>
  <c r="F24" i="42"/>
  <c r="E24" i="42" s="1"/>
  <c r="B11" i="42"/>
  <c r="B12" i="42" s="1"/>
  <c r="B13" i="42" s="1"/>
  <c r="B14" i="42" s="1"/>
  <c r="B15" i="42" s="1"/>
  <c r="B16" i="42" s="1"/>
  <c r="B17" i="42" s="1"/>
  <c r="B18" i="42" s="1"/>
  <c r="B19" i="42" s="1"/>
  <c r="B20" i="42" s="1"/>
  <c r="B21" i="42" s="1"/>
  <c r="B22" i="42" s="1"/>
  <c r="B23" i="42" s="1"/>
  <c r="B24" i="42" s="1"/>
  <c r="B25" i="42" s="1"/>
  <c r="B26" i="42" s="1"/>
  <c r="B27" i="42" s="1"/>
  <c r="B28" i="42" s="1"/>
  <c r="E34" i="41"/>
  <c r="H18" i="44" l="1"/>
  <c r="H19" i="44" s="1"/>
  <c r="H20" i="44" s="1"/>
  <c r="H21" i="44" s="1"/>
  <c r="H22" i="44" s="1"/>
  <c r="H23" i="44" s="1"/>
  <c r="H24" i="44" s="1"/>
  <c r="H25" i="44" s="1"/>
  <c r="H26" i="44" s="1"/>
  <c r="H27" i="44" s="1"/>
  <c r="H28" i="44" s="1"/>
  <c r="H29" i="44" s="1"/>
  <c r="XFD30" i="43"/>
  <c r="G34" i="42"/>
  <c r="F31" i="42"/>
  <c r="F12" i="42"/>
  <c r="E12" i="42" s="1"/>
  <c r="E10" i="42"/>
  <c r="B29" i="42"/>
  <c r="B30" i="42" s="1"/>
  <c r="B31" i="42" s="1"/>
  <c r="H10" i="42"/>
  <c r="H11" i="42" s="1"/>
  <c r="E13" i="42"/>
  <c r="E15" i="42"/>
  <c r="E17" i="42"/>
  <c r="E19" i="42"/>
  <c r="E21" i="42"/>
  <c r="E23" i="42"/>
  <c r="E25" i="42"/>
  <c r="E27" i="42"/>
  <c r="E30" i="42"/>
  <c r="G33" i="41"/>
  <c r="D33" i="41"/>
  <c r="F33" i="41" s="1"/>
  <c r="G32" i="41"/>
  <c r="D32" i="41"/>
  <c r="F32" i="41" s="1"/>
  <c r="E32" i="41" s="1"/>
  <c r="G31" i="41"/>
  <c r="D31" i="41"/>
  <c r="F31" i="41" s="1"/>
  <c r="E31" i="41" s="1"/>
  <c r="G30" i="41"/>
  <c r="D30" i="41"/>
  <c r="F30" i="41" s="1"/>
  <c r="E30" i="41" s="1"/>
  <c r="G28" i="41"/>
  <c r="D28" i="41"/>
  <c r="F28" i="41" s="1"/>
  <c r="E28" i="41" s="1"/>
  <c r="G27" i="41"/>
  <c r="D27" i="41"/>
  <c r="F27" i="41" s="1"/>
  <c r="E27" i="41" s="1"/>
  <c r="G26" i="41"/>
  <c r="D26" i="41"/>
  <c r="F26" i="41" s="1"/>
  <c r="E26" i="41" s="1"/>
  <c r="G25" i="41"/>
  <c r="D25" i="41"/>
  <c r="F25" i="41" s="1"/>
  <c r="E25" i="41" s="1"/>
  <c r="G24" i="41"/>
  <c r="D24" i="41"/>
  <c r="F24" i="41" s="1"/>
  <c r="E24" i="41" s="1"/>
  <c r="G23" i="41"/>
  <c r="D23" i="41"/>
  <c r="F23" i="41" s="1"/>
  <c r="E23" i="41" s="1"/>
  <c r="G22" i="41"/>
  <c r="D22" i="41"/>
  <c r="F22" i="41" s="1"/>
  <c r="E22" i="41" s="1"/>
  <c r="G21" i="41"/>
  <c r="D21" i="41"/>
  <c r="F21" i="41" s="1"/>
  <c r="E21" i="41" s="1"/>
  <c r="G20" i="41"/>
  <c r="D20" i="41"/>
  <c r="F20" i="41" s="1"/>
  <c r="E20" i="41" s="1"/>
  <c r="G19" i="41"/>
  <c r="D19" i="41"/>
  <c r="G18" i="41"/>
  <c r="D18" i="41"/>
  <c r="F18" i="41" s="1"/>
  <c r="E18" i="41" s="1"/>
  <c r="G17" i="41"/>
  <c r="D17" i="41"/>
  <c r="F17" i="41" s="1"/>
  <c r="E17" i="41" s="1"/>
  <c r="G16" i="41"/>
  <c r="D16" i="41"/>
  <c r="F16" i="41" s="1"/>
  <c r="E16" i="41" s="1"/>
  <c r="G15" i="41"/>
  <c r="D15" i="41"/>
  <c r="F15" i="41" s="1"/>
  <c r="E15" i="41" s="1"/>
  <c r="G14" i="41"/>
  <c r="D14" i="41"/>
  <c r="F14" i="41" s="1"/>
  <c r="G12" i="41"/>
  <c r="D12" i="41"/>
  <c r="F12" i="41" s="1"/>
  <c r="G11" i="41"/>
  <c r="D11" i="41"/>
  <c r="G10" i="41"/>
  <c r="G36" i="41" s="1"/>
  <c r="D10" i="41"/>
  <c r="D36" i="41" s="1"/>
  <c r="F11" i="41"/>
  <c r="E11" i="41" s="1"/>
  <c r="B11" i="41"/>
  <c r="B12" i="41" s="1"/>
  <c r="B14" i="41" s="1"/>
  <c r="B15" i="41" s="1"/>
  <c r="B16" i="41" s="1"/>
  <c r="B17" i="41" s="1"/>
  <c r="B18" i="41" s="1"/>
  <c r="B19" i="41" s="1"/>
  <c r="B20" i="41" s="1"/>
  <c r="B21" i="41" s="1"/>
  <c r="B22" i="41" s="1"/>
  <c r="B23" i="41" s="1"/>
  <c r="B24" i="41" s="1"/>
  <c r="B25" i="41" s="1"/>
  <c r="B26" i="41" s="1"/>
  <c r="B27" i="41" s="1"/>
  <c r="B28" i="41" s="1"/>
  <c r="B30" i="41" s="1"/>
  <c r="G10" i="40"/>
  <c r="G32" i="40" s="1"/>
  <c r="D10" i="40"/>
  <c r="F10" i="40" s="1"/>
  <c r="F30" i="40"/>
  <c r="E30" i="40" s="1"/>
  <c r="F29" i="40"/>
  <c r="E29" i="40" s="1"/>
  <c r="F28" i="40"/>
  <c r="E28" i="40" s="1"/>
  <c r="F27" i="40"/>
  <c r="F26" i="40"/>
  <c r="E26" i="40" s="1"/>
  <c r="F25" i="40"/>
  <c r="F24" i="40"/>
  <c r="E24" i="40" s="1"/>
  <c r="F23" i="40"/>
  <c r="E23" i="40" s="1"/>
  <c r="F22" i="40"/>
  <c r="E22" i="40" s="1"/>
  <c r="F21" i="40"/>
  <c r="E21" i="40" s="1"/>
  <c r="F20" i="40"/>
  <c r="E20" i="40" s="1"/>
  <c r="F18" i="40"/>
  <c r="E18" i="40" s="1"/>
  <c r="F17" i="40"/>
  <c r="E17" i="40" s="1"/>
  <c r="F15" i="40"/>
  <c r="E15" i="40" s="1"/>
  <c r="F14" i="40"/>
  <c r="E14" i="40" s="1"/>
  <c r="F13" i="40"/>
  <c r="E13" i="40" s="1"/>
  <c r="F12" i="40"/>
  <c r="E12" i="40" s="1"/>
  <c r="F11" i="40"/>
  <c r="E11" i="40" s="1"/>
  <c r="B11" i="40"/>
  <c r="B12" i="40" s="1"/>
  <c r="B13" i="40" s="1"/>
  <c r="B14" i="40" s="1"/>
  <c r="B15" i="40" s="1"/>
  <c r="B17" i="40" s="1"/>
  <c r="B18" i="40" s="1"/>
  <c r="B19" i="40" s="1"/>
  <c r="B20" i="40" s="1"/>
  <c r="B21" i="40" s="1"/>
  <c r="B22" i="40" s="1"/>
  <c r="B23" i="40" s="1"/>
  <c r="B24" i="40" s="1"/>
  <c r="B25" i="40" s="1"/>
  <c r="B26" i="40" s="1"/>
  <c r="B27" i="40" s="1"/>
  <c r="B28" i="40" s="1"/>
  <c r="B29" i="40" s="1"/>
  <c r="H30" i="44" l="1"/>
  <c r="H31" i="44" s="1"/>
  <c r="H32" i="44" s="1"/>
  <c r="XFD29" i="44"/>
  <c r="E31" i="42"/>
  <c r="H12" i="42"/>
  <c r="H13" i="42" s="1"/>
  <c r="H14" i="42" s="1"/>
  <c r="H15" i="42" s="1"/>
  <c r="H16" i="42" s="1"/>
  <c r="H17" i="42" s="1"/>
  <c r="H18" i="42" s="1"/>
  <c r="H19" i="42" s="1"/>
  <c r="H20" i="42" s="1"/>
  <c r="H21" i="42" s="1"/>
  <c r="H22" i="42" s="1"/>
  <c r="H23" i="42" s="1"/>
  <c r="H24" i="42" s="1"/>
  <c r="H25" i="42" s="1"/>
  <c r="H26" i="42" s="1"/>
  <c r="H27" i="42" s="1"/>
  <c r="H28" i="42" s="1"/>
  <c r="E34" i="42"/>
  <c r="H10" i="40"/>
  <c r="E33" i="41"/>
  <c r="E12" i="41"/>
  <c r="E14" i="41"/>
  <c r="F19" i="41"/>
  <c r="E19" i="41" s="1"/>
  <c r="F10" i="41"/>
  <c r="B31" i="41"/>
  <c r="B32" i="41" s="1"/>
  <c r="B33" i="41" s="1"/>
  <c r="E10" i="40"/>
  <c r="E27" i="40"/>
  <c r="F19" i="40"/>
  <c r="E19" i="40" s="1"/>
  <c r="E25" i="40"/>
  <c r="D32" i="40"/>
  <c r="H11" i="40"/>
  <c r="H12" i="40" s="1"/>
  <c r="H13" i="40" s="1"/>
  <c r="H14" i="40" s="1"/>
  <c r="H15" i="40" s="1"/>
  <c r="F32" i="40"/>
  <c r="B30" i="40"/>
  <c r="G31" i="39"/>
  <c r="D31" i="39"/>
  <c r="F31" i="39" s="1"/>
  <c r="G30" i="39"/>
  <c r="D30" i="39"/>
  <c r="F30" i="39" s="1"/>
  <c r="G29" i="39"/>
  <c r="D29" i="39"/>
  <c r="F29" i="39" s="1"/>
  <c r="G28" i="39"/>
  <c r="D28" i="39"/>
  <c r="G27" i="39"/>
  <c r="D27" i="39"/>
  <c r="F27" i="39" s="1"/>
  <c r="G26" i="39"/>
  <c r="D26" i="39"/>
  <c r="F26" i="39" s="1"/>
  <c r="G25" i="39"/>
  <c r="D25" i="39"/>
  <c r="G24" i="39"/>
  <c r="D24" i="39"/>
  <c r="G23" i="39"/>
  <c r="D23" i="39"/>
  <c r="G22" i="39"/>
  <c r="D22" i="39"/>
  <c r="G21" i="39"/>
  <c r="D21" i="39"/>
  <c r="F21" i="39" s="1"/>
  <c r="G20" i="39"/>
  <c r="D20" i="39"/>
  <c r="F20" i="39" s="1"/>
  <c r="G19" i="39"/>
  <c r="D19" i="39"/>
  <c r="F19" i="39" s="1"/>
  <c r="G18" i="39"/>
  <c r="D18" i="39"/>
  <c r="F18" i="39" s="1"/>
  <c r="G16" i="39"/>
  <c r="D16" i="39"/>
  <c r="F16" i="39" s="1"/>
  <c r="G15" i="39"/>
  <c r="D15" i="39"/>
  <c r="F15" i="39" s="1"/>
  <c r="G14" i="39"/>
  <c r="D14" i="39"/>
  <c r="G13" i="39"/>
  <c r="D13" i="39"/>
  <c r="G12" i="39"/>
  <c r="D12" i="39"/>
  <c r="F12" i="39" s="1"/>
  <c r="G11" i="39"/>
  <c r="D11" i="39"/>
  <c r="F11" i="39" s="1"/>
  <c r="F33" i="39"/>
  <c r="E33" i="39" s="1"/>
  <c r="G32" i="39"/>
  <c r="D32" i="39"/>
  <c r="F32" i="39" s="1"/>
  <c r="E32" i="39" s="1"/>
  <c r="F28" i="39"/>
  <c r="F25" i="39"/>
  <c r="F24" i="39"/>
  <c r="F13" i="39"/>
  <c r="B11" i="39"/>
  <c r="B12" i="39" s="1"/>
  <c r="B13" i="39" s="1"/>
  <c r="B14" i="39" s="1"/>
  <c r="B15" i="39" s="1"/>
  <c r="B16" i="39" s="1"/>
  <c r="B18" i="39" s="1"/>
  <c r="B19" i="39" s="1"/>
  <c r="B20" i="39" s="1"/>
  <c r="B21" i="39" s="1"/>
  <c r="B22" i="39" s="1"/>
  <c r="B23" i="39" s="1"/>
  <c r="B24" i="39" s="1"/>
  <c r="B25" i="39" s="1"/>
  <c r="B26" i="39" s="1"/>
  <c r="B27" i="39" s="1"/>
  <c r="B28" i="39" s="1"/>
  <c r="B29" i="39" s="1"/>
  <c r="F10" i="39"/>
  <c r="H10" i="39" s="1"/>
  <c r="F33" i="36"/>
  <c r="E33" i="36" s="1"/>
  <c r="H33" i="44" l="1"/>
  <c r="H34" i="44" s="1"/>
  <c r="H29" i="42"/>
  <c r="H30" i="42" s="1"/>
  <c r="XFD28" i="42"/>
  <c r="H10" i="41"/>
  <c r="H11" i="41" s="1"/>
  <c r="H12" i="41" s="1"/>
  <c r="H13" i="41" s="1"/>
  <c r="H14" i="41" s="1"/>
  <c r="H15" i="41" s="1"/>
  <c r="H16" i="41" s="1"/>
  <c r="H17" i="41" s="1"/>
  <c r="H18" i="41" s="1"/>
  <c r="H19" i="41" s="1"/>
  <c r="H20" i="41" s="1"/>
  <c r="H21" i="41" s="1"/>
  <c r="H22" i="41" s="1"/>
  <c r="H23" i="41" s="1"/>
  <c r="H24" i="41" s="1"/>
  <c r="H25" i="41" s="1"/>
  <c r="H26" i="41" s="1"/>
  <c r="H27" i="41" s="1"/>
  <c r="H28" i="41" s="1"/>
  <c r="H29" i="41" s="1"/>
  <c r="H30" i="41" s="1"/>
  <c r="H31" i="41" s="1"/>
  <c r="H32" i="41" s="1"/>
  <c r="H33" i="41" s="1"/>
  <c r="F36" i="41"/>
  <c r="E10" i="41"/>
  <c r="E36" i="41" s="1"/>
  <c r="H16" i="40"/>
  <c r="H17" i="40" s="1"/>
  <c r="H18" i="40" s="1"/>
  <c r="H19" i="40" s="1"/>
  <c r="H20" i="40" s="1"/>
  <c r="H21" i="40" s="1"/>
  <c r="H22" i="40" s="1"/>
  <c r="H23" i="40" s="1"/>
  <c r="H24" i="40" s="1"/>
  <c r="H25" i="40" s="1"/>
  <c r="H26" i="40" s="1"/>
  <c r="H27" i="40" s="1"/>
  <c r="H28" i="40" s="1"/>
  <c r="H29" i="40" s="1"/>
  <c r="H30" i="40" s="1"/>
  <c r="E32" i="40"/>
  <c r="E12" i="39"/>
  <c r="E15" i="39"/>
  <c r="F22" i="39"/>
  <c r="E22" i="39" s="1"/>
  <c r="E24" i="39"/>
  <c r="E30" i="39"/>
  <c r="E20" i="39"/>
  <c r="E28" i="39"/>
  <c r="G34" i="39"/>
  <c r="E13" i="39"/>
  <c r="D34" i="39"/>
  <c r="E10" i="39"/>
  <c r="E18" i="39"/>
  <c r="E26" i="39"/>
  <c r="B30" i="39"/>
  <c r="B31" i="39" s="1"/>
  <c r="B32" i="39" s="1"/>
  <c r="H11" i="39"/>
  <c r="H12" i="39" s="1"/>
  <c r="E19" i="39"/>
  <c r="F14" i="39"/>
  <c r="E14" i="39" s="1"/>
  <c r="F23" i="39"/>
  <c r="E23" i="39" s="1"/>
  <c r="E16" i="39"/>
  <c r="E21" i="39"/>
  <c r="E25" i="39"/>
  <c r="E27" i="39"/>
  <c r="E29" i="39"/>
  <c r="E11" i="39"/>
  <c r="E31" i="39"/>
  <c r="G32" i="36"/>
  <c r="D32" i="36"/>
  <c r="F32" i="36" s="1"/>
  <c r="E32" i="36" s="1"/>
  <c r="G31" i="36"/>
  <c r="D31" i="36"/>
  <c r="F31" i="36" s="1"/>
  <c r="E31" i="36" s="1"/>
  <c r="G30" i="36"/>
  <c r="D30" i="36"/>
  <c r="F30" i="36" s="1"/>
  <c r="E30" i="36" s="1"/>
  <c r="G29" i="36"/>
  <c r="D29" i="36"/>
  <c r="G28" i="36"/>
  <c r="D28" i="36"/>
  <c r="G27" i="36"/>
  <c r="D27" i="36"/>
  <c r="G26" i="36"/>
  <c r="D26" i="36"/>
  <c r="F26" i="36" s="1"/>
  <c r="E26" i="36" s="1"/>
  <c r="G25" i="36"/>
  <c r="D25" i="36"/>
  <c r="F25" i="36" s="1"/>
  <c r="E25" i="36" s="1"/>
  <c r="G24" i="36"/>
  <c r="D24" i="36"/>
  <c r="F24" i="36" s="1"/>
  <c r="G23" i="36"/>
  <c r="D23" i="36"/>
  <c r="F23" i="36" s="1"/>
  <c r="E23" i="36" s="1"/>
  <c r="G22" i="36"/>
  <c r="D22" i="36"/>
  <c r="F22" i="36" s="1"/>
  <c r="G21" i="36"/>
  <c r="D21" i="36"/>
  <c r="G20" i="36"/>
  <c r="D20" i="36"/>
  <c r="F20" i="36" s="1"/>
  <c r="G19" i="36"/>
  <c r="D19" i="36"/>
  <c r="G18" i="36"/>
  <c r="D18" i="36"/>
  <c r="F18" i="36" s="1"/>
  <c r="G17" i="36"/>
  <c r="D17" i="36"/>
  <c r="F17" i="36" s="1"/>
  <c r="E17" i="36" s="1"/>
  <c r="G16" i="36"/>
  <c r="D16" i="36"/>
  <c r="F16" i="36" s="1"/>
  <c r="E16" i="36" s="1"/>
  <c r="G15" i="36"/>
  <c r="D15" i="36"/>
  <c r="G14" i="36"/>
  <c r="D14" i="36"/>
  <c r="F14" i="36" s="1"/>
  <c r="G12" i="36"/>
  <c r="D12" i="36"/>
  <c r="G11" i="36"/>
  <c r="D11" i="36"/>
  <c r="F11" i="36" s="1"/>
  <c r="G10" i="36"/>
  <c r="D10" i="36"/>
  <c r="F10" i="36" s="1"/>
  <c r="F29" i="36"/>
  <c r="E29" i="36" s="1"/>
  <c r="F27" i="36"/>
  <c r="F21" i="36"/>
  <c r="E21" i="36" s="1"/>
  <c r="F19" i="36"/>
  <c r="E19" i="36" s="1"/>
  <c r="F15" i="36"/>
  <c r="E15" i="36" s="1"/>
  <c r="F12" i="36"/>
  <c r="E12" i="36" s="1"/>
  <c r="B11" i="36"/>
  <c r="B12" i="36" s="1"/>
  <c r="B14" i="36" s="1"/>
  <c r="B15" i="36" s="1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H31" i="42" l="1"/>
  <c r="H33" i="42" s="1"/>
  <c r="H34" i="42" s="1"/>
  <c r="J34" i="42" s="1"/>
  <c r="H35" i="41"/>
  <c r="H36" i="41" s="1"/>
  <c r="XFD30" i="41"/>
  <c r="H31" i="40"/>
  <c r="J31" i="40" s="1"/>
  <c r="XFD29" i="40"/>
  <c r="H13" i="39"/>
  <c r="H14" i="39" s="1"/>
  <c r="H15" i="39" s="1"/>
  <c r="H16" i="39" s="1"/>
  <c r="H17" i="39" s="1"/>
  <c r="H18" i="39" s="1"/>
  <c r="H19" i="39" s="1"/>
  <c r="H20" i="39" s="1"/>
  <c r="H21" i="39" s="1"/>
  <c r="H22" i="39" s="1"/>
  <c r="H23" i="39" s="1"/>
  <c r="H24" i="39" s="1"/>
  <c r="H25" i="39" s="1"/>
  <c r="H26" i="39" s="1"/>
  <c r="H27" i="39" s="1"/>
  <c r="H28" i="39" s="1"/>
  <c r="H29" i="39" s="1"/>
  <c r="H30" i="39" s="1"/>
  <c r="H31" i="39" s="1"/>
  <c r="H32" i="39" s="1"/>
  <c r="H33" i="39" s="1"/>
  <c r="J33" i="39" s="1"/>
  <c r="E34" i="39"/>
  <c r="F34" i="39"/>
  <c r="B30" i="36"/>
  <c r="B31" i="36" s="1"/>
  <c r="B32" i="36" s="1"/>
  <c r="E11" i="36"/>
  <c r="E20" i="36"/>
  <c r="E14" i="36"/>
  <c r="E18" i="36"/>
  <c r="E22" i="36"/>
  <c r="F28" i="36"/>
  <c r="E28" i="36" s="1"/>
  <c r="G34" i="36"/>
  <c r="E24" i="36"/>
  <c r="H10" i="36"/>
  <c r="H11" i="36" s="1"/>
  <c r="H12" i="36" s="1"/>
  <c r="H13" i="36" s="1"/>
  <c r="H14" i="36" s="1"/>
  <c r="H15" i="36" s="1"/>
  <c r="H16" i="36" s="1"/>
  <c r="H17" i="36" s="1"/>
  <c r="H18" i="36" s="1"/>
  <c r="H19" i="36" s="1"/>
  <c r="H20" i="36" s="1"/>
  <c r="H21" i="36" s="1"/>
  <c r="H22" i="36" s="1"/>
  <c r="H23" i="36" s="1"/>
  <c r="H24" i="36" s="1"/>
  <c r="H25" i="36" s="1"/>
  <c r="H26" i="36" s="1"/>
  <c r="H27" i="36" s="1"/>
  <c r="H28" i="36" s="1"/>
  <c r="H29" i="36" s="1"/>
  <c r="H30" i="36" s="1"/>
  <c r="H31" i="36" s="1"/>
  <c r="H32" i="36" s="1"/>
  <c r="H33" i="36" s="1"/>
  <c r="E10" i="36"/>
  <c r="E27" i="36"/>
  <c r="D34" i="36"/>
  <c r="G28" i="35"/>
  <c r="D28" i="35"/>
  <c r="F28" i="35" s="1"/>
  <c r="E28" i="35" s="1"/>
  <c r="G27" i="35"/>
  <c r="D27" i="35"/>
  <c r="F27" i="35" s="1"/>
  <c r="G26" i="35"/>
  <c r="D26" i="35"/>
  <c r="F26" i="35" s="1"/>
  <c r="E26" i="35" s="1"/>
  <c r="G25" i="35"/>
  <c r="D25" i="35"/>
  <c r="D23" i="35"/>
  <c r="F23" i="35" s="1"/>
  <c r="G22" i="35"/>
  <c r="D22" i="35"/>
  <c r="F22" i="35" s="1"/>
  <c r="G21" i="35"/>
  <c r="D21" i="35"/>
  <c r="F21" i="35" s="1"/>
  <c r="E21" i="35" s="1"/>
  <c r="G20" i="35"/>
  <c r="D20" i="35"/>
  <c r="G19" i="35"/>
  <c r="D19" i="35"/>
  <c r="G18" i="35"/>
  <c r="D18" i="35"/>
  <c r="F18" i="35" s="1"/>
  <c r="G17" i="35"/>
  <c r="D17" i="35"/>
  <c r="F17" i="35" s="1"/>
  <c r="G16" i="35"/>
  <c r="D16" i="35"/>
  <c r="F16" i="35" s="1"/>
  <c r="G15" i="35"/>
  <c r="D15" i="35"/>
  <c r="F15" i="35" s="1"/>
  <c r="G14" i="35"/>
  <c r="D14" i="35"/>
  <c r="G13" i="35"/>
  <c r="D13" i="35"/>
  <c r="F13" i="35" s="1"/>
  <c r="E13" i="35" s="1"/>
  <c r="G12" i="35"/>
  <c r="D12" i="35"/>
  <c r="G11" i="35"/>
  <c r="D11" i="35"/>
  <c r="F11" i="35" s="1"/>
  <c r="G10" i="35"/>
  <c r="D10" i="35"/>
  <c r="F29" i="35"/>
  <c r="E29" i="35" s="1"/>
  <c r="F19" i="35"/>
  <c r="B11" i="35"/>
  <c r="B12" i="35" s="1"/>
  <c r="B13" i="35" s="1"/>
  <c r="B14" i="35" s="1"/>
  <c r="B15" i="35" s="1"/>
  <c r="B16" i="35" s="1"/>
  <c r="B17" i="35" s="1"/>
  <c r="B18" i="35" s="1"/>
  <c r="B19" i="35" s="1"/>
  <c r="B20" i="35" s="1"/>
  <c r="B21" i="35" s="1"/>
  <c r="B22" i="35" s="1"/>
  <c r="B24" i="35" s="1"/>
  <c r="B25" i="35" s="1"/>
  <c r="B26" i="35" s="1"/>
  <c r="B27" i="35" s="1"/>
  <c r="B28" i="35" s="1"/>
  <c r="F28" i="33"/>
  <c r="E28" i="33" s="1"/>
  <c r="H32" i="40" l="1"/>
  <c r="H34" i="39"/>
  <c r="XFD29" i="39"/>
  <c r="F34" i="36"/>
  <c r="E34" i="36"/>
  <c r="G30" i="35"/>
  <c r="E11" i="35"/>
  <c r="E17" i="35"/>
  <c r="E19" i="35"/>
  <c r="F25" i="35"/>
  <c r="E25" i="35" s="1"/>
  <c r="E23" i="35"/>
  <c r="E15" i="35"/>
  <c r="D30" i="35"/>
  <c r="E16" i="35"/>
  <c r="E18" i="35"/>
  <c r="E22" i="35"/>
  <c r="F10" i="35"/>
  <c r="F12" i="35"/>
  <c r="E12" i="35" s="1"/>
  <c r="F14" i="35"/>
  <c r="E14" i="35" s="1"/>
  <c r="F20" i="35"/>
  <c r="E20" i="35" s="1"/>
  <c r="F24" i="35"/>
  <c r="E24" i="35" s="1"/>
  <c r="E27" i="35"/>
  <c r="F30" i="34"/>
  <c r="E30" i="34" s="1"/>
  <c r="G33" i="34"/>
  <c r="D33" i="34"/>
  <c r="F33" i="34" s="1"/>
  <c r="E33" i="34" s="1"/>
  <c r="G32" i="34"/>
  <c r="D32" i="34"/>
  <c r="F32" i="34" s="1"/>
  <c r="E32" i="34" s="1"/>
  <c r="G31" i="34"/>
  <c r="D31" i="34"/>
  <c r="F31" i="34" s="1"/>
  <c r="E31" i="34" s="1"/>
  <c r="G29" i="34"/>
  <c r="D29" i="34"/>
  <c r="D28" i="34"/>
  <c r="F28" i="34" s="1"/>
  <c r="G28" i="34"/>
  <c r="G27" i="34"/>
  <c r="D27" i="34"/>
  <c r="F27" i="34" s="1"/>
  <c r="G26" i="34"/>
  <c r="D26" i="34"/>
  <c r="F26" i="34" s="1"/>
  <c r="E26" i="34" s="1"/>
  <c r="D25" i="34"/>
  <c r="F25" i="34" s="1"/>
  <c r="E25" i="34" s="1"/>
  <c r="G24" i="34"/>
  <c r="D24" i="34"/>
  <c r="F24" i="34" s="1"/>
  <c r="E24" i="34" s="1"/>
  <c r="G23" i="34"/>
  <c r="D23" i="34"/>
  <c r="G22" i="34"/>
  <c r="D22" i="34"/>
  <c r="F22" i="34" s="1"/>
  <c r="E22" i="34" s="1"/>
  <c r="G21" i="34"/>
  <c r="D21" i="34"/>
  <c r="F21" i="34" s="1"/>
  <c r="E21" i="34" s="1"/>
  <c r="G20" i="34"/>
  <c r="D20" i="34"/>
  <c r="F20" i="34" s="1"/>
  <c r="E20" i="34" s="1"/>
  <c r="G19" i="34"/>
  <c r="D19" i="34"/>
  <c r="F19" i="34" s="1"/>
  <c r="G18" i="34"/>
  <c r="D18" i="34"/>
  <c r="F18" i="34" s="1"/>
  <c r="E18" i="34" s="1"/>
  <c r="G17" i="34"/>
  <c r="D17" i="34"/>
  <c r="F17" i="34" s="1"/>
  <c r="E17" i="34" s="1"/>
  <c r="G16" i="34"/>
  <c r="D16" i="34"/>
  <c r="F16" i="34" s="1"/>
  <c r="E16" i="34" s="1"/>
  <c r="G15" i="34"/>
  <c r="D15" i="34"/>
  <c r="F15" i="34" s="1"/>
  <c r="G14" i="34"/>
  <c r="D14" i="34"/>
  <c r="F14" i="34" s="1"/>
  <c r="E14" i="34" s="1"/>
  <c r="G13" i="34"/>
  <c r="D13" i="34"/>
  <c r="F13" i="34" s="1"/>
  <c r="G12" i="34"/>
  <c r="D12" i="34"/>
  <c r="F12" i="34" s="1"/>
  <c r="E12" i="34" s="1"/>
  <c r="G11" i="34"/>
  <c r="D11" i="34"/>
  <c r="F11" i="34" s="1"/>
  <c r="E11" i="34" s="1"/>
  <c r="G10" i="34"/>
  <c r="D10" i="34"/>
  <c r="F34" i="34"/>
  <c r="F29" i="34"/>
  <c r="E29" i="34" s="1"/>
  <c r="B11" i="34"/>
  <c r="B12" i="34" s="1"/>
  <c r="B13" i="34" s="1"/>
  <c r="B14" i="34" s="1"/>
  <c r="B15" i="34" s="1"/>
  <c r="B16" i="34" s="1"/>
  <c r="B17" i="34" s="1"/>
  <c r="B18" i="34" s="1"/>
  <c r="B19" i="34" s="1"/>
  <c r="B20" i="34" s="1"/>
  <c r="B21" i="34" s="1"/>
  <c r="B22" i="34" s="1"/>
  <c r="B23" i="34" s="1"/>
  <c r="B24" i="34" s="1"/>
  <c r="B25" i="34" s="1"/>
  <c r="B26" i="34" s="1"/>
  <c r="B27" i="34" s="1"/>
  <c r="B28" i="34" s="1"/>
  <c r="H34" i="36" l="1"/>
  <c r="XFD29" i="36"/>
  <c r="F30" i="35"/>
  <c r="H10" i="35"/>
  <c r="H11" i="35" s="1"/>
  <c r="H12" i="35" s="1"/>
  <c r="H13" i="35" s="1"/>
  <c r="H14" i="35" s="1"/>
  <c r="H15" i="35" s="1"/>
  <c r="H16" i="35" s="1"/>
  <c r="H17" i="35" s="1"/>
  <c r="H18" i="35" s="1"/>
  <c r="H19" i="35" s="1"/>
  <c r="H20" i="35" s="1"/>
  <c r="H21" i="35" s="1"/>
  <c r="H22" i="35" s="1"/>
  <c r="H23" i="35" s="1"/>
  <c r="H24" i="35" s="1"/>
  <c r="H25" i="35" s="1"/>
  <c r="H26" i="35" s="1"/>
  <c r="H27" i="35" s="1"/>
  <c r="H28" i="35" s="1"/>
  <c r="H29" i="35" s="1"/>
  <c r="E10" i="35"/>
  <c r="E30" i="35" s="1"/>
  <c r="E34" i="34"/>
  <c r="E15" i="34"/>
  <c r="E19" i="34"/>
  <c r="E27" i="34"/>
  <c r="F23" i="34"/>
  <c r="E23" i="34" s="1"/>
  <c r="G35" i="34"/>
  <c r="E13" i="34"/>
  <c r="D35" i="34"/>
  <c r="B29" i="34"/>
  <c r="B31" i="34" s="1"/>
  <c r="B32" i="34" s="1"/>
  <c r="B33" i="34" s="1"/>
  <c r="E28" i="34"/>
  <c r="F10" i="34"/>
  <c r="G32" i="33"/>
  <c r="D32" i="33"/>
  <c r="G31" i="33"/>
  <c r="D31" i="33"/>
  <c r="F31" i="33" s="1"/>
  <c r="G30" i="33"/>
  <c r="D30" i="33"/>
  <c r="F30" i="33" s="1"/>
  <c r="E30" i="33" s="1"/>
  <c r="G29" i="33"/>
  <c r="D29" i="33"/>
  <c r="F29" i="33" s="1"/>
  <c r="G27" i="33"/>
  <c r="D27" i="33"/>
  <c r="G26" i="33"/>
  <c r="D26" i="33"/>
  <c r="F26" i="33" s="1"/>
  <c r="G25" i="33"/>
  <c r="D25" i="33"/>
  <c r="F25" i="33" s="1"/>
  <c r="E25" i="33" s="1"/>
  <c r="G24" i="33"/>
  <c r="D24" i="33"/>
  <c r="F24" i="33" s="1"/>
  <c r="G23" i="33"/>
  <c r="D23" i="33"/>
  <c r="F23" i="33" s="1"/>
  <c r="E23" i="33" s="1"/>
  <c r="G22" i="33"/>
  <c r="D22" i="33"/>
  <c r="F22" i="33" s="1"/>
  <c r="G21" i="33"/>
  <c r="D21" i="33"/>
  <c r="F21" i="33" s="1"/>
  <c r="E21" i="33" s="1"/>
  <c r="G20" i="33"/>
  <c r="D20" i="33"/>
  <c r="F20" i="33" s="1"/>
  <c r="G19" i="33"/>
  <c r="D19" i="33"/>
  <c r="F19" i="33" s="1"/>
  <c r="E19" i="33" s="1"/>
  <c r="G18" i="33"/>
  <c r="D18" i="33"/>
  <c r="F18" i="33" s="1"/>
  <c r="G17" i="33"/>
  <c r="D17" i="33"/>
  <c r="G16" i="33"/>
  <c r="D16" i="33"/>
  <c r="F16" i="33" s="1"/>
  <c r="G15" i="33"/>
  <c r="D15" i="33"/>
  <c r="F15" i="33" s="1"/>
  <c r="E15" i="33" s="1"/>
  <c r="G14" i="33"/>
  <c r="D14" i="33"/>
  <c r="F14" i="33" s="1"/>
  <c r="G13" i="33"/>
  <c r="D13" i="33"/>
  <c r="F13" i="33" s="1"/>
  <c r="E13" i="33" s="1"/>
  <c r="G12" i="33"/>
  <c r="D12" i="33"/>
  <c r="F12" i="33" s="1"/>
  <c r="G11" i="33"/>
  <c r="D11" i="33"/>
  <c r="F11" i="33" s="1"/>
  <c r="E11" i="33" s="1"/>
  <c r="G10" i="33"/>
  <c r="D10" i="33"/>
  <c r="F33" i="33"/>
  <c r="E33" i="33" s="1"/>
  <c r="F32" i="33"/>
  <c r="E32" i="33" s="1"/>
  <c r="B11" i="33"/>
  <c r="B12" i="33" s="1"/>
  <c r="B13" i="33" s="1"/>
  <c r="B14" i="33" s="1"/>
  <c r="B15" i="33" s="1"/>
  <c r="B16" i="33" s="1"/>
  <c r="B17" i="33" s="1"/>
  <c r="B18" i="33" s="1"/>
  <c r="B19" i="33" s="1"/>
  <c r="B20" i="33" s="1"/>
  <c r="B21" i="33" s="1"/>
  <c r="B22" i="33" s="1"/>
  <c r="B23" i="33" s="1"/>
  <c r="B24" i="33" s="1"/>
  <c r="B25" i="33" s="1"/>
  <c r="B26" i="33" s="1"/>
  <c r="B27" i="33" s="1"/>
  <c r="B29" i="33" s="1"/>
  <c r="H30" i="35" l="1"/>
  <c r="K31" i="35" s="1"/>
  <c r="XFD28" i="35"/>
  <c r="E10" i="34"/>
  <c r="E35" i="34" s="1"/>
  <c r="F35" i="34"/>
  <c r="H10" i="34"/>
  <c r="H11" i="34" s="1"/>
  <c r="H12" i="34" s="1"/>
  <c r="H13" i="34" s="1"/>
  <c r="H14" i="34" s="1"/>
  <c r="H15" i="34" s="1"/>
  <c r="H16" i="34" s="1"/>
  <c r="H17" i="34" s="1"/>
  <c r="H18" i="34" s="1"/>
  <c r="H19" i="34" s="1"/>
  <c r="H20" i="34" s="1"/>
  <c r="H21" i="34" s="1"/>
  <c r="H22" i="34" s="1"/>
  <c r="H23" i="34" s="1"/>
  <c r="H24" i="34" s="1"/>
  <c r="H25" i="34" s="1"/>
  <c r="H26" i="34" s="1"/>
  <c r="H27" i="34" s="1"/>
  <c r="H28" i="34" s="1"/>
  <c r="F27" i="33"/>
  <c r="E27" i="33" s="1"/>
  <c r="B30" i="33"/>
  <c r="B31" i="33" s="1"/>
  <c r="B32" i="33" s="1"/>
  <c r="G34" i="33"/>
  <c r="F17" i="33"/>
  <c r="E17" i="33" s="1"/>
  <c r="D34" i="33"/>
  <c r="E12" i="33"/>
  <c r="E14" i="33"/>
  <c r="E16" i="33"/>
  <c r="E18" i="33"/>
  <c r="E20" i="33"/>
  <c r="E22" i="33"/>
  <c r="E24" i="33"/>
  <c r="E26" i="33"/>
  <c r="E29" i="33"/>
  <c r="E31" i="33"/>
  <c r="F10" i="33"/>
  <c r="F34" i="33" s="1"/>
  <c r="G30" i="32"/>
  <c r="D30" i="32"/>
  <c r="G29" i="32"/>
  <c r="D29" i="32"/>
  <c r="F29" i="32" s="1"/>
  <c r="G28" i="32"/>
  <c r="D28" i="32"/>
  <c r="G27" i="32"/>
  <c r="D27" i="32"/>
  <c r="F27" i="32" s="1"/>
  <c r="G26" i="32"/>
  <c r="D26" i="32"/>
  <c r="G25" i="32"/>
  <c r="D25" i="32"/>
  <c r="F25" i="32" s="1"/>
  <c r="G24" i="32"/>
  <c r="D24" i="32"/>
  <c r="F24" i="32" s="1"/>
  <c r="G23" i="32"/>
  <c r="D23" i="32"/>
  <c r="G22" i="32"/>
  <c r="D22" i="32"/>
  <c r="F22" i="32" s="1"/>
  <c r="G21" i="32"/>
  <c r="D21" i="32"/>
  <c r="G20" i="32"/>
  <c r="D20" i="32"/>
  <c r="F20" i="32" s="1"/>
  <c r="E20" i="32" s="1"/>
  <c r="G19" i="32"/>
  <c r="D19" i="32"/>
  <c r="G18" i="32"/>
  <c r="D18" i="32"/>
  <c r="F18" i="32" s="1"/>
  <c r="E18" i="32" s="1"/>
  <c r="G17" i="32"/>
  <c r="D17" i="32"/>
  <c r="F17" i="32" s="1"/>
  <c r="G16" i="32"/>
  <c r="D16" i="32"/>
  <c r="F16" i="32" s="1"/>
  <c r="E16" i="32" s="1"/>
  <c r="G15" i="32"/>
  <c r="D15" i="32"/>
  <c r="F15" i="32" s="1"/>
  <c r="G14" i="32"/>
  <c r="D14" i="32"/>
  <c r="F14" i="32" s="1"/>
  <c r="E14" i="32" s="1"/>
  <c r="G13" i="32"/>
  <c r="D13" i="32"/>
  <c r="F13" i="32" s="1"/>
  <c r="G12" i="32"/>
  <c r="D12" i="32"/>
  <c r="F12" i="32" s="1"/>
  <c r="E12" i="32" s="1"/>
  <c r="G11" i="32"/>
  <c r="D11" i="32"/>
  <c r="G10" i="32"/>
  <c r="D10" i="32"/>
  <c r="F10" i="32" s="1"/>
  <c r="F33" i="32"/>
  <c r="E33" i="32" s="1"/>
  <c r="F32" i="32"/>
  <c r="E32" i="32" s="1"/>
  <c r="F31" i="32"/>
  <c r="F30" i="32"/>
  <c r="F28" i="32"/>
  <c r="E28" i="32" s="1"/>
  <c r="F26" i="32"/>
  <c r="E26" i="32" s="1"/>
  <c r="F23" i="32"/>
  <c r="F21" i="32"/>
  <c r="F19" i="32"/>
  <c r="F11" i="32"/>
  <c r="B11" i="32"/>
  <c r="B12" i="32" s="1"/>
  <c r="B13" i="32" s="1"/>
  <c r="B14" i="32" s="1"/>
  <c r="B15" i="32" s="1"/>
  <c r="B16" i="32" s="1"/>
  <c r="B17" i="32" s="1"/>
  <c r="B18" i="32" s="1"/>
  <c r="B19" i="32" s="1"/>
  <c r="B20" i="32" s="1"/>
  <c r="B21" i="32" s="1"/>
  <c r="B22" i="32" s="1"/>
  <c r="B23" i="32" s="1"/>
  <c r="B24" i="32" s="1"/>
  <c r="B25" i="32" s="1"/>
  <c r="B26" i="32" s="1"/>
  <c r="B27" i="32" s="1"/>
  <c r="B28" i="32" s="1"/>
  <c r="B29" i="32" s="1"/>
  <c r="B30" i="32" s="1"/>
  <c r="F30" i="30"/>
  <c r="E30" i="30" s="1"/>
  <c r="G32" i="31"/>
  <c r="D32" i="31"/>
  <c r="F32" i="31" s="1"/>
  <c r="E32" i="31" s="1"/>
  <c r="G31" i="31"/>
  <c r="D31" i="31"/>
  <c r="G30" i="31"/>
  <c r="D30" i="31"/>
  <c r="F30" i="31" s="1"/>
  <c r="E30" i="31" s="1"/>
  <c r="G29" i="31"/>
  <c r="D29" i="31"/>
  <c r="G28" i="31"/>
  <c r="D28" i="31"/>
  <c r="F28" i="31" s="1"/>
  <c r="E28" i="31" s="1"/>
  <c r="G27" i="31"/>
  <c r="D27" i="31"/>
  <c r="G26" i="31"/>
  <c r="D26" i="31"/>
  <c r="F26" i="31" s="1"/>
  <c r="E26" i="31" s="1"/>
  <c r="G25" i="31"/>
  <c r="D25" i="31"/>
  <c r="G24" i="31"/>
  <c r="D24" i="31"/>
  <c r="F24" i="31" s="1"/>
  <c r="E24" i="31" s="1"/>
  <c r="G23" i="31"/>
  <c r="D23" i="31"/>
  <c r="F23" i="31" s="1"/>
  <c r="G22" i="31"/>
  <c r="D22" i="31"/>
  <c r="F22" i="31" s="1"/>
  <c r="E22" i="31" s="1"/>
  <c r="G21" i="31"/>
  <c r="D21" i="31"/>
  <c r="F21" i="31" s="1"/>
  <c r="E21" i="31" s="1"/>
  <c r="G20" i="31"/>
  <c r="D20" i="31"/>
  <c r="F20" i="31" s="1"/>
  <c r="E20" i="31" s="1"/>
  <c r="G19" i="31"/>
  <c r="D19" i="31"/>
  <c r="F19" i="31" s="1"/>
  <c r="G18" i="31"/>
  <c r="D18" i="31"/>
  <c r="F18" i="31" s="1"/>
  <c r="E18" i="31" s="1"/>
  <c r="G17" i="31"/>
  <c r="D17" i="31"/>
  <c r="F17" i="31" s="1"/>
  <c r="E17" i="31" s="1"/>
  <c r="G16" i="31"/>
  <c r="D16" i="31"/>
  <c r="F16" i="31" s="1"/>
  <c r="E16" i="31" s="1"/>
  <c r="G15" i="31"/>
  <c r="D15" i="31"/>
  <c r="F15" i="31" s="1"/>
  <c r="E15" i="31" s="1"/>
  <c r="G14" i="31"/>
  <c r="D14" i="31"/>
  <c r="F14" i="31" s="1"/>
  <c r="E14" i="31" s="1"/>
  <c r="G13" i="31"/>
  <c r="D13" i="31"/>
  <c r="F13" i="31" s="1"/>
  <c r="G12" i="31"/>
  <c r="D12" i="31"/>
  <c r="F12" i="31" s="1"/>
  <c r="E12" i="31" s="1"/>
  <c r="G11" i="31"/>
  <c r="D11" i="31"/>
  <c r="G10" i="31"/>
  <c r="D10" i="31"/>
  <c r="F10" i="31" s="1"/>
  <c r="F33" i="31"/>
  <c r="F27" i="31"/>
  <c r="E27" i="31" s="1"/>
  <c r="F11" i="31"/>
  <c r="E11" i="31" s="1"/>
  <c r="B11" i="31"/>
  <c r="B12" i="31" s="1"/>
  <c r="B13" i="31" s="1"/>
  <c r="B14" i="31" s="1"/>
  <c r="B15" i="31" s="1"/>
  <c r="B16" i="31" s="1"/>
  <c r="B17" i="31" s="1"/>
  <c r="B18" i="31" s="1"/>
  <c r="B19" i="31" s="1"/>
  <c r="B20" i="31" s="1"/>
  <c r="B21" i="31" s="1"/>
  <c r="B22" i="31" s="1"/>
  <c r="B23" i="31" s="1"/>
  <c r="F31" i="30"/>
  <c r="E31" i="30" s="1"/>
  <c r="G29" i="30"/>
  <c r="D29" i="30"/>
  <c r="F29" i="30" s="1"/>
  <c r="G28" i="30"/>
  <c r="D28" i="30"/>
  <c r="F28" i="30" s="1"/>
  <c r="G27" i="30"/>
  <c r="D27" i="30"/>
  <c r="F27" i="30" s="1"/>
  <c r="G26" i="30"/>
  <c r="D26" i="30"/>
  <c r="F26" i="30" s="1"/>
  <c r="G25" i="30"/>
  <c r="D25" i="30"/>
  <c r="F25" i="30" s="1"/>
  <c r="G24" i="30"/>
  <c r="D24" i="30"/>
  <c r="F24" i="30" s="1"/>
  <c r="G23" i="30"/>
  <c r="D23" i="30"/>
  <c r="G22" i="30"/>
  <c r="D22" i="30"/>
  <c r="F22" i="30" s="1"/>
  <c r="G21" i="30"/>
  <c r="D21" i="30"/>
  <c r="F21" i="30" s="1"/>
  <c r="E21" i="30" s="1"/>
  <c r="G20" i="30"/>
  <c r="D20" i="30"/>
  <c r="F20" i="30" s="1"/>
  <c r="G19" i="30"/>
  <c r="D19" i="30"/>
  <c r="F19" i="30" s="1"/>
  <c r="E19" i="30" s="1"/>
  <c r="G18" i="30"/>
  <c r="D18" i="30"/>
  <c r="F18" i="30" s="1"/>
  <c r="G17" i="30"/>
  <c r="D17" i="30"/>
  <c r="F17" i="30" s="1"/>
  <c r="E17" i="30" s="1"/>
  <c r="G16" i="30"/>
  <c r="D16" i="30"/>
  <c r="F16" i="30" s="1"/>
  <c r="G15" i="30"/>
  <c r="D15" i="30"/>
  <c r="F15" i="30" s="1"/>
  <c r="G14" i="30"/>
  <c r="D14" i="30"/>
  <c r="F14" i="30" s="1"/>
  <c r="G13" i="30"/>
  <c r="D13" i="30"/>
  <c r="F13" i="30" s="1"/>
  <c r="E13" i="30" s="1"/>
  <c r="G12" i="30"/>
  <c r="D12" i="30"/>
  <c r="F12" i="30" s="1"/>
  <c r="G11" i="30"/>
  <c r="D11" i="30"/>
  <c r="G10" i="30"/>
  <c r="D10" i="30"/>
  <c r="B11" i="30"/>
  <c r="B12" i="30" s="1"/>
  <c r="B13" i="30" s="1"/>
  <c r="B14" i="30" s="1"/>
  <c r="B15" i="30" s="1"/>
  <c r="B16" i="30" s="1"/>
  <c r="B17" i="30" s="1"/>
  <c r="B18" i="30" s="1"/>
  <c r="B19" i="30" s="1"/>
  <c r="B20" i="30" s="1"/>
  <c r="B21" i="30" s="1"/>
  <c r="B22" i="30" s="1"/>
  <c r="B23" i="30" s="1"/>
  <c r="E31" i="29"/>
  <c r="G30" i="29"/>
  <c r="D30" i="29"/>
  <c r="G29" i="29"/>
  <c r="D29" i="29"/>
  <c r="F29" i="29" s="1"/>
  <c r="E29" i="29" s="1"/>
  <c r="G28" i="29"/>
  <c r="D28" i="29"/>
  <c r="F28" i="29" s="1"/>
  <c r="G27" i="29"/>
  <c r="D27" i="29"/>
  <c r="F27" i="29" s="1"/>
  <c r="E27" i="29" s="1"/>
  <c r="G26" i="29"/>
  <c r="D26" i="29"/>
  <c r="F26" i="29" s="1"/>
  <c r="G25" i="29"/>
  <c r="D25" i="29"/>
  <c r="F25" i="29" s="1"/>
  <c r="E25" i="29" s="1"/>
  <c r="G24" i="29"/>
  <c r="D24" i="29"/>
  <c r="F24" i="29" s="1"/>
  <c r="G23" i="29"/>
  <c r="D23" i="29"/>
  <c r="F23" i="29" s="1"/>
  <c r="E23" i="29" s="1"/>
  <c r="G22" i="29"/>
  <c r="D22" i="29"/>
  <c r="F22" i="29" s="1"/>
  <c r="G21" i="29"/>
  <c r="D21" i="29"/>
  <c r="G20" i="29"/>
  <c r="D20" i="29"/>
  <c r="F20" i="29" s="1"/>
  <c r="G19" i="29"/>
  <c r="D19" i="29"/>
  <c r="G18" i="29"/>
  <c r="D18" i="29"/>
  <c r="F18" i="29" s="1"/>
  <c r="G17" i="29"/>
  <c r="D17" i="29"/>
  <c r="G16" i="29"/>
  <c r="D16" i="29"/>
  <c r="F16" i="29" s="1"/>
  <c r="G15" i="29"/>
  <c r="D15" i="29"/>
  <c r="F15" i="29" s="1"/>
  <c r="E15" i="29" s="1"/>
  <c r="G14" i="29"/>
  <c r="D14" i="29"/>
  <c r="F14" i="29" s="1"/>
  <c r="G13" i="29"/>
  <c r="D13" i="29"/>
  <c r="F13" i="29" s="1"/>
  <c r="E13" i="29" s="1"/>
  <c r="G12" i="29"/>
  <c r="D12" i="29"/>
  <c r="F12" i="29" s="1"/>
  <c r="E12" i="29" s="1"/>
  <c r="G11" i="29"/>
  <c r="D11" i="29"/>
  <c r="F11" i="29" s="1"/>
  <c r="G10" i="29"/>
  <c r="D10" i="29"/>
  <c r="F19" i="29"/>
  <c r="E19" i="29" s="1"/>
  <c r="B11" i="29"/>
  <c r="B12" i="29" s="1"/>
  <c r="B13" i="29" s="1"/>
  <c r="B14" i="29" s="1"/>
  <c r="B15" i="29" s="1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G11" i="28"/>
  <c r="G29" i="28"/>
  <c r="D29" i="28"/>
  <c r="F29" i="28" s="1"/>
  <c r="E29" i="28" s="1"/>
  <c r="G28" i="28"/>
  <c r="D28" i="28"/>
  <c r="G27" i="28"/>
  <c r="D27" i="28"/>
  <c r="F27" i="28" s="1"/>
  <c r="E27" i="28" s="1"/>
  <c r="G26" i="28"/>
  <c r="D26" i="28"/>
  <c r="F26" i="28" s="1"/>
  <c r="E26" i="28" s="1"/>
  <c r="G25" i="28"/>
  <c r="D25" i="28"/>
  <c r="F25" i="28" s="1"/>
  <c r="E25" i="28" s="1"/>
  <c r="G24" i="28"/>
  <c r="D24" i="28"/>
  <c r="F24" i="28" s="1"/>
  <c r="E24" i="28" s="1"/>
  <c r="G23" i="28"/>
  <c r="D23" i="28"/>
  <c r="G22" i="28"/>
  <c r="D22" i="28"/>
  <c r="F22" i="28" s="1"/>
  <c r="E22" i="28" s="1"/>
  <c r="G21" i="28"/>
  <c r="D21" i="28"/>
  <c r="F21" i="28" s="1"/>
  <c r="E21" i="28" s="1"/>
  <c r="G20" i="28"/>
  <c r="D20" i="28"/>
  <c r="F20" i="28" s="1"/>
  <c r="E20" i="28" s="1"/>
  <c r="G19" i="28"/>
  <c r="D19" i="28"/>
  <c r="F19" i="28" s="1"/>
  <c r="G18" i="28"/>
  <c r="D18" i="28"/>
  <c r="F18" i="28" s="1"/>
  <c r="E18" i="28" s="1"/>
  <c r="G17" i="28"/>
  <c r="D17" i="28"/>
  <c r="F17" i="28" s="1"/>
  <c r="E17" i="28" s="1"/>
  <c r="G16" i="28"/>
  <c r="D16" i="28"/>
  <c r="F16" i="28" s="1"/>
  <c r="E16" i="28" s="1"/>
  <c r="G15" i="28"/>
  <c r="D15" i="28"/>
  <c r="F15" i="28" s="1"/>
  <c r="E15" i="28" s="1"/>
  <c r="G14" i="28"/>
  <c r="D14" i="28"/>
  <c r="F14" i="28" s="1"/>
  <c r="E14" i="28" s="1"/>
  <c r="G13" i="28"/>
  <c r="D13" i="28"/>
  <c r="D11" i="28"/>
  <c r="F11" i="28" s="1"/>
  <c r="G10" i="28"/>
  <c r="D10" i="28"/>
  <c r="F31" i="28"/>
  <c r="H31" i="28" s="1"/>
  <c r="E30" i="28"/>
  <c r="F28" i="28"/>
  <c r="F12" i="28"/>
  <c r="E12" i="28" s="1"/>
  <c r="B11" i="28"/>
  <c r="B12" i="28" s="1"/>
  <c r="B13" i="28" s="1"/>
  <c r="B14" i="28" s="1"/>
  <c r="B15" i="28" s="1"/>
  <c r="B16" i="28" s="1"/>
  <c r="B17" i="28" s="1"/>
  <c r="B18" i="28" s="1"/>
  <c r="B19" i="28" s="1"/>
  <c r="B20" i="28" s="1"/>
  <c r="B21" i="28" s="1"/>
  <c r="B22" i="28" s="1"/>
  <c r="B23" i="28" s="1"/>
  <c r="B24" i="28" s="1"/>
  <c r="D10" i="27"/>
  <c r="F10" i="27" s="1"/>
  <c r="G10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F11" i="27"/>
  <c r="E11" i="27" s="1"/>
  <c r="F12" i="27"/>
  <c r="E12" i="27" s="1"/>
  <c r="F13" i="27"/>
  <c r="E13" i="27" s="1"/>
  <c r="F14" i="27"/>
  <c r="E14" i="27" s="1"/>
  <c r="F15" i="27"/>
  <c r="E15" i="27" s="1"/>
  <c r="F16" i="27"/>
  <c r="E16" i="27" s="1"/>
  <c r="F17" i="27"/>
  <c r="E17" i="27" s="1"/>
  <c r="F18" i="27"/>
  <c r="E18" i="27" s="1"/>
  <c r="F19" i="27"/>
  <c r="E19" i="27" s="1"/>
  <c r="F20" i="27"/>
  <c r="E20" i="27" s="1"/>
  <c r="F21" i="27"/>
  <c r="E21" i="27" s="1"/>
  <c r="F22" i="27"/>
  <c r="E22" i="27" s="1"/>
  <c r="F23" i="27"/>
  <c r="E23" i="27" s="1"/>
  <c r="F24" i="27"/>
  <c r="E24" i="27" s="1"/>
  <c r="F25" i="27"/>
  <c r="F26" i="27"/>
  <c r="E26" i="27" s="1"/>
  <c r="F27" i="27"/>
  <c r="E27" i="27" s="1"/>
  <c r="F28" i="27"/>
  <c r="E28" i="27" s="1"/>
  <c r="F30" i="27"/>
  <c r="H30" i="27" s="1"/>
  <c r="B11" i="27"/>
  <c r="B12" i="27" s="1"/>
  <c r="B13" i="27" s="1"/>
  <c r="B14" i="27" s="1"/>
  <c r="B15" i="27" s="1"/>
  <c r="B16" i="27" s="1"/>
  <c r="B17" i="27" s="1"/>
  <c r="B18" i="27" s="1"/>
  <c r="B19" i="27" s="1"/>
  <c r="B20" i="27" s="1"/>
  <c r="B21" i="27" s="1"/>
  <c r="B22" i="27" s="1"/>
  <c r="B23" i="27" s="1"/>
  <c r="B24" i="27" s="1"/>
  <c r="B25" i="27" s="1"/>
  <c r="B26" i="27" s="1"/>
  <c r="B27" i="27" s="1"/>
  <c r="B28" i="27" s="1"/>
  <c r="E29" i="27"/>
  <c r="E25" i="27"/>
  <c r="F31" i="26"/>
  <c r="F32" i="26" s="1"/>
  <c r="D32" i="26"/>
  <c r="E30" i="26"/>
  <c r="G29" i="26"/>
  <c r="E29" i="26"/>
  <c r="G28" i="26"/>
  <c r="E28" i="26"/>
  <c r="G27" i="26"/>
  <c r="E27" i="26"/>
  <c r="G26" i="26"/>
  <c r="E26" i="26"/>
  <c r="G25" i="26"/>
  <c r="E25" i="26"/>
  <c r="G24" i="26"/>
  <c r="E24" i="26"/>
  <c r="G23" i="26"/>
  <c r="E23" i="26"/>
  <c r="G22" i="26"/>
  <c r="E22" i="26"/>
  <c r="G21" i="26"/>
  <c r="E21" i="26"/>
  <c r="G20" i="26"/>
  <c r="E20" i="26"/>
  <c r="G19" i="26"/>
  <c r="E19" i="26"/>
  <c r="G18" i="26"/>
  <c r="E18" i="26"/>
  <c r="G17" i="26"/>
  <c r="E17" i="26"/>
  <c r="G16" i="26"/>
  <c r="E16" i="26"/>
  <c r="G15" i="26"/>
  <c r="E15" i="26"/>
  <c r="G14" i="26"/>
  <c r="E14" i="26"/>
  <c r="G13" i="26"/>
  <c r="E13" i="26"/>
  <c r="G12" i="26"/>
  <c r="E12" i="26"/>
  <c r="G11" i="26"/>
  <c r="E11" i="26"/>
  <c r="B11" i="26"/>
  <c r="B12" i="26" s="1"/>
  <c r="B13" i="26" s="1"/>
  <c r="B14" i="26" s="1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1" i="26" s="1"/>
  <c r="G10" i="26"/>
  <c r="H10" i="26" s="1"/>
  <c r="E10" i="26"/>
  <c r="D32" i="25"/>
  <c r="G31" i="25"/>
  <c r="E31" i="25"/>
  <c r="G30" i="25"/>
  <c r="E30" i="25"/>
  <c r="G29" i="25"/>
  <c r="E29" i="25"/>
  <c r="G28" i="25"/>
  <c r="E28" i="25"/>
  <c r="G27" i="25"/>
  <c r="E27" i="25"/>
  <c r="G26" i="25"/>
  <c r="E26" i="25"/>
  <c r="G25" i="25"/>
  <c r="E25" i="25"/>
  <c r="G24" i="25"/>
  <c r="E24" i="25"/>
  <c r="G23" i="25"/>
  <c r="E23" i="25"/>
  <c r="G22" i="25"/>
  <c r="E22" i="25"/>
  <c r="G21" i="25"/>
  <c r="E21" i="25"/>
  <c r="G20" i="25"/>
  <c r="E20" i="25"/>
  <c r="G19" i="25"/>
  <c r="E19" i="25"/>
  <c r="G18" i="25"/>
  <c r="E18" i="25"/>
  <c r="E17" i="25"/>
  <c r="G16" i="25"/>
  <c r="E16" i="25"/>
  <c r="G15" i="25"/>
  <c r="E15" i="25"/>
  <c r="G14" i="25"/>
  <c r="E14" i="25"/>
  <c r="G13" i="25"/>
  <c r="E13" i="25"/>
  <c r="G12" i="25"/>
  <c r="E12" i="25"/>
  <c r="G11" i="25"/>
  <c r="E11" i="25"/>
  <c r="B11" i="25"/>
  <c r="B12" i="25" s="1"/>
  <c r="B13" i="25" s="1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G10" i="25"/>
  <c r="H10" i="25" s="1"/>
  <c r="E10" i="25"/>
  <c r="F33" i="24"/>
  <c r="F17" i="24"/>
  <c r="D17" i="24"/>
  <c r="D35" i="24" s="1"/>
  <c r="F34" i="24"/>
  <c r="E34" i="24" s="1"/>
  <c r="E32" i="24"/>
  <c r="G31" i="24"/>
  <c r="E31" i="24"/>
  <c r="G30" i="24"/>
  <c r="E30" i="24"/>
  <c r="G29" i="24"/>
  <c r="E29" i="24"/>
  <c r="G28" i="24"/>
  <c r="E28" i="24"/>
  <c r="G27" i="24"/>
  <c r="E27" i="24"/>
  <c r="G26" i="24"/>
  <c r="E26" i="24"/>
  <c r="G25" i="24"/>
  <c r="E25" i="24"/>
  <c r="G24" i="24"/>
  <c r="E24" i="24"/>
  <c r="G23" i="24"/>
  <c r="E23" i="24"/>
  <c r="G22" i="24"/>
  <c r="E22" i="24"/>
  <c r="G21" i="24"/>
  <c r="E21" i="24"/>
  <c r="G20" i="24"/>
  <c r="E20" i="24"/>
  <c r="G19" i="24"/>
  <c r="E19" i="24"/>
  <c r="G18" i="24"/>
  <c r="E18" i="24"/>
  <c r="G17" i="24"/>
  <c r="G16" i="24"/>
  <c r="E16" i="24"/>
  <c r="G15" i="24"/>
  <c r="E15" i="24"/>
  <c r="G14" i="24"/>
  <c r="E14" i="24"/>
  <c r="G13" i="24"/>
  <c r="E13" i="24"/>
  <c r="G12" i="24"/>
  <c r="E12" i="24"/>
  <c r="G11" i="24"/>
  <c r="E11" i="24"/>
  <c r="B11" i="24"/>
  <c r="B12" i="24" s="1"/>
  <c r="B13" i="24" s="1"/>
  <c r="B14" i="24" s="1"/>
  <c r="B15" i="24" s="1"/>
  <c r="B16" i="24" s="1"/>
  <c r="B17" i="24" s="1"/>
  <c r="B18" i="24" s="1"/>
  <c r="B19" i="24" s="1"/>
  <c r="B20" i="24" s="1"/>
  <c r="B21" i="24" s="1"/>
  <c r="B22" i="24" s="1"/>
  <c r="B23" i="24" s="1"/>
  <c r="B24" i="24" s="1"/>
  <c r="B25" i="24" s="1"/>
  <c r="B26" i="24" s="1"/>
  <c r="B27" i="24" s="1"/>
  <c r="B28" i="24" s="1"/>
  <c r="B29" i="24" s="1"/>
  <c r="B30" i="24" s="1"/>
  <c r="B31" i="24" s="1"/>
  <c r="G10" i="24"/>
  <c r="H10" i="24" s="1"/>
  <c r="E10" i="24"/>
  <c r="D36" i="23"/>
  <c r="F34" i="23"/>
  <c r="E24" i="32" l="1"/>
  <c r="D34" i="32"/>
  <c r="H29" i="34"/>
  <c r="H30" i="34" s="1"/>
  <c r="H31" i="34" s="1"/>
  <c r="H32" i="34" s="1"/>
  <c r="H33" i="34" s="1"/>
  <c r="H34" i="34" s="1"/>
  <c r="H35" i="34" s="1"/>
  <c r="E10" i="32"/>
  <c r="G34" i="32"/>
  <c r="E22" i="32"/>
  <c r="E30" i="32"/>
  <c r="E10" i="33"/>
  <c r="E34" i="33" s="1"/>
  <c r="H10" i="33"/>
  <c r="H11" i="33" s="1"/>
  <c r="H12" i="33" s="1"/>
  <c r="H13" i="33" s="1"/>
  <c r="H14" i="33" s="1"/>
  <c r="H15" i="33" s="1"/>
  <c r="H16" i="33" s="1"/>
  <c r="H17" i="33" s="1"/>
  <c r="H18" i="33" s="1"/>
  <c r="H19" i="33" s="1"/>
  <c r="H20" i="33" s="1"/>
  <c r="H21" i="33" s="1"/>
  <c r="H22" i="33" s="1"/>
  <c r="H23" i="33" s="1"/>
  <c r="H24" i="33" s="1"/>
  <c r="H25" i="33" s="1"/>
  <c r="H26" i="33" s="1"/>
  <c r="H27" i="33" s="1"/>
  <c r="H28" i="33" s="1"/>
  <c r="H29" i="33" s="1"/>
  <c r="H30" i="33" s="1"/>
  <c r="H31" i="33" s="1"/>
  <c r="H32" i="33" s="1"/>
  <c r="H33" i="33" s="1"/>
  <c r="E11" i="32"/>
  <c r="E13" i="32"/>
  <c r="E15" i="32"/>
  <c r="E17" i="32"/>
  <c r="E19" i="32"/>
  <c r="E21" i="32"/>
  <c r="E23" i="32"/>
  <c r="E25" i="32"/>
  <c r="E27" i="32"/>
  <c r="E29" i="32"/>
  <c r="E31" i="32"/>
  <c r="F34" i="32"/>
  <c r="H32" i="28"/>
  <c r="H9" i="29"/>
  <c r="E28" i="28"/>
  <c r="E30" i="27"/>
  <c r="F31" i="31"/>
  <c r="E31" i="31" s="1"/>
  <c r="H31" i="30"/>
  <c r="D32" i="30"/>
  <c r="F23" i="30"/>
  <c r="E23" i="30" s="1"/>
  <c r="F25" i="31"/>
  <c r="E25" i="31" s="1"/>
  <c r="E13" i="31"/>
  <c r="E23" i="31"/>
  <c r="F29" i="31"/>
  <c r="G34" i="31"/>
  <c r="B24" i="31"/>
  <c r="B25" i="31" s="1"/>
  <c r="B26" i="31" s="1"/>
  <c r="B27" i="31" s="1"/>
  <c r="B28" i="31" s="1"/>
  <c r="B29" i="31" s="1"/>
  <c r="B30" i="31" s="1"/>
  <c r="B31" i="31" s="1"/>
  <c r="B32" i="31" s="1"/>
  <c r="E19" i="31"/>
  <c r="D34" i="31"/>
  <c r="E10" i="31"/>
  <c r="E33" i="31"/>
  <c r="B24" i="30"/>
  <c r="B25" i="30" s="1"/>
  <c r="B26" i="30" s="1"/>
  <c r="B27" i="30" s="1"/>
  <c r="B28" i="30" s="1"/>
  <c r="B29" i="30" s="1"/>
  <c r="E15" i="30"/>
  <c r="F11" i="30"/>
  <c r="E11" i="30" s="1"/>
  <c r="E27" i="30"/>
  <c r="E29" i="30"/>
  <c r="E25" i="30"/>
  <c r="G32" i="30"/>
  <c r="E12" i="30"/>
  <c r="E14" i="30"/>
  <c r="E16" i="30"/>
  <c r="E18" i="30"/>
  <c r="E20" i="30"/>
  <c r="E22" i="30"/>
  <c r="E24" i="30"/>
  <c r="E26" i="30"/>
  <c r="E28" i="30"/>
  <c r="F10" i="30"/>
  <c r="E10" i="30" s="1"/>
  <c r="D32" i="29"/>
  <c r="F21" i="29"/>
  <c r="E21" i="29" s="1"/>
  <c r="F30" i="29"/>
  <c r="E30" i="29" s="1"/>
  <c r="F10" i="29"/>
  <c r="F17" i="29"/>
  <c r="E17" i="29" s="1"/>
  <c r="G32" i="29"/>
  <c r="E11" i="29"/>
  <c r="E14" i="29"/>
  <c r="E16" i="29"/>
  <c r="E18" i="29"/>
  <c r="E20" i="29"/>
  <c r="E22" i="29"/>
  <c r="E24" i="29"/>
  <c r="E26" i="29"/>
  <c r="E28" i="29"/>
  <c r="E11" i="28"/>
  <c r="F13" i="28"/>
  <c r="E13" i="28" s="1"/>
  <c r="D31" i="27"/>
  <c r="E31" i="28"/>
  <c r="D32" i="28"/>
  <c r="F23" i="28"/>
  <c r="E23" i="28" s="1"/>
  <c r="G32" i="28"/>
  <c r="E19" i="28"/>
  <c r="B25" i="28"/>
  <c r="B26" i="28" s="1"/>
  <c r="B27" i="28" s="1"/>
  <c r="B28" i="28" s="1"/>
  <c r="B29" i="28" s="1"/>
  <c r="F10" i="28"/>
  <c r="E10" i="28" s="1"/>
  <c r="E10" i="27"/>
  <c r="E31" i="27" s="1"/>
  <c r="F31" i="27"/>
  <c r="H31" i="27"/>
  <c r="H9" i="28" s="1"/>
  <c r="G31" i="27"/>
  <c r="E31" i="26"/>
  <c r="E32" i="26" s="1"/>
  <c r="H11" i="26"/>
  <c r="H12" i="26" s="1"/>
  <c r="H13" i="26" s="1"/>
  <c r="H14" i="26" s="1"/>
  <c r="H15" i="26" s="1"/>
  <c r="H16" i="26" s="1"/>
  <c r="H17" i="26" s="1"/>
  <c r="H18" i="26" s="1"/>
  <c r="H19" i="26" s="1"/>
  <c r="H20" i="26" s="1"/>
  <c r="H21" i="26" s="1"/>
  <c r="H22" i="26" s="1"/>
  <c r="H23" i="26" s="1"/>
  <c r="H24" i="26" s="1"/>
  <c r="H25" i="26" s="1"/>
  <c r="H26" i="26" s="1"/>
  <c r="H27" i="26" s="1"/>
  <c r="H28" i="26" s="1"/>
  <c r="G32" i="26"/>
  <c r="H11" i="25"/>
  <c r="H12" i="25" s="1"/>
  <c r="H13" i="25" s="1"/>
  <c r="H14" i="25" s="1"/>
  <c r="H15" i="25" s="1"/>
  <c r="H16" i="25" s="1"/>
  <c r="F32" i="25"/>
  <c r="E32" i="25"/>
  <c r="G17" i="25"/>
  <c r="G32" i="25" s="1"/>
  <c r="G34" i="24"/>
  <c r="F35" i="24"/>
  <c r="E17" i="24"/>
  <c r="H11" i="24"/>
  <c r="H12" i="24" s="1"/>
  <c r="H13" i="24" s="1"/>
  <c r="H14" i="24" s="1"/>
  <c r="H15" i="24" s="1"/>
  <c r="H16" i="24" s="1"/>
  <c r="H17" i="24" s="1"/>
  <c r="H18" i="24" s="1"/>
  <c r="H19" i="24" s="1"/>
  <c r="H20" i="24" s="1"/>
  <c r="H21" i="24" s="1"/>
  <c r="H22" i="24" s="1"/>
  <c r="H23" i="24" s="1"/>
  <c r="H24" i="24" s="1"/>
  <c r="H25" i="24" s="1"/>
  <c r="H26" i="24" s="1"/>
  <c r="H27" i="24" s="1"/>
  <c r="H28" i="24" s="1"/>
  <c r="H29" i="24" s="1"/>
  <c r="H30" i="24" s="1"/>
  <c r="H31" i="24" s="1"/>
  <c r="G35" i="24"/>
  <c r="E33" i="24"/>
  <c r="E20" i="23"/>
  <c r="G20" i="23"/>
  <c r="F35" i="23"/>
  <c r="F36" i="23" s="1"/>
  <c r="E34" i="23"/>
  <c r="E33" i="23"/>
  <c r="G32" i="23"/>
  <c r="E32" i="23"/>
  <c r="G31" i="23"/>
  <c r="E31" i="23"/>
  <c r="G30" i="23"/>
  <c r="E30" i="23"/>
  <c r="G29" i="23"/>
  <c r="E29" i="23"/>
  <c r="G28" i="23"/>
  <c r="E28" i="23"/>
  <c r="G27" i="23"/>
  <c r="E27" i="23"/>
  <c r="G26" i="23"/>
  <c r="E26" i="23"/>
  <c r="G25" i="23"/>
  <c r="E25" i="23"/>
  <c r="G24" i="23"/>
  <c r="E24" i="23"/>
  <c r="G23" i="23"/>
  <c r="E23" i="23"/>
  <c r="G22" i="23"/>
  <c r="E22" i="23"/>
  <c r="G21" i="23"/>
  <c r="E21" i="23"/>
  <c r="G19" i="23"/>
  <c r="E19" i="23"/>
  <c r="G18" i="23"/>
  <c r="E18" i="23"/>
  <c r="G17" i="23"/>
  <c r="E17" i="23"/>
  <c r="G16" i="23"/>
  <c r="E16" i="23"/>
  <c r="G15" i="23"/>
  <c r="E15" i="23"/>
  <c r="G14" i="23"/>
  <c r="E14" i="23"/>
  <c r="G13" i="23"/>
  <c r="E13" i="23"/>
  <c r="G12" i="23"/>
  <c r="E12" i="23"/>
  <c r="G11" i="23"/>
  <c r="E11" i="23"/>
  <c r="B11" i="23"/>
  <c r="B12" i="23" s="1"/>
  <c r="B13" i="23" s="1"/>
  <c r="B14" i="23" s="1"/>
  <c r="B15" i="23" s="1"/>
  <c r="B16" i="23" s="1"/>
  <c r="B17" i="23" s="1"/>
  <c r="B18" i="23" s="1"/>
  <c r="B19" i="23" s="1"/>
  <c r="B20" i="23" s="1"/>
  <c r="B21" i="23" s="1"/>
  <c r="G10" i="23"/>
  <c r="H10" i="23" s="1"/>
  <c r="E10" i="23"/>
  <c r="H34" i="33" l="1"/>
  <c r="XFD28" i="34"/>
  <c r="XFD29" i="33"/>
  <c r="E34" i="32"/>
  <c r="F32" i="29"/>
  <c r="F34" i="31"/>
  <c r="E29" i="31"/>
  <c r="E34" i="31" s="1"/>
  <c r="E32" i="30"/>
  <c r="F32" i="30"/>
  <c r="E10" i="29"/>
  <c r="E32" i="29" s="1"/>
  <c r="H10" i="29"/>
  <c r="H11" i="29" s="1"/>
  <c r="H12" i="29" s="1"/>
  <c r="H13" i="29" s="1"/>
  <c r="H14" i="29" s="1"/>
  <c r="H15" i="29" s="1"/>
  <c r="H16" i="29" s="1"/>
  <c r="H17" i="29" s="1"/>
  <c r="H18" i="29" s="1"/>
  <c r="H19" i="29" s="1"/>
  <c r="H20" i="29" s="1"/>
  <c r="H21" i="29" s="1"/>
  <c r="H22" i="29" s="1"/>
  <c r="H23" i="29" s="1"/>
  <c r="H24" i="29" s="1"/>
  <c r="H25" i="29" s="1"/>
  <c r="H26" i="29" s="1"/>
  <c r="H27" i="29" s="1"/>
  <c r="H28" i="29" s="1"/>
  <c r="H29" i="29" s="1"/>
  <c r="E32" i="28"/>
  <c r="H10" i="28"/>
  <c r="H11" i="28" s="1"/>
  <c r="H12" i="28" s="1"/>
  <c r="H13" i="28" s="1"/>
  <c r="H14" i="28" s="1"/>
  <c r="H15" i="28" s="1"/>
  <c r="H16" i="28" s="1"/>
  <c r="H17" i="28" s="1"/>
  <c r="H18" i="28" s="1"/>
  <c r="H19" i="28" s="1"/>
  <c r="H20" i="28" s="1"/>
  <c r="H21" i="28" s="1"/>
  <c r="H22" i="28" s="1"/>
  <c r="F32" i="28"/>
  <c r="E35" i="23"/>
  <c r="E36" i="23" s="1"/>
  <c r="E35" i="24"/>
  <c r="H29" i="26"/>
  <c r="H30" i="26" s="1"/>
  <c r="H17" i="25"/>
  <c r="H18" i="25" s="1"/>
  <c r="H19" i="25" s="1"/>
  <c r="H20" i="25" s="1"/>
  <c r="H21" i="25" s="1"/>
  <c r="H22" i="25" s="1"/>
  <c r="H23" i="25" s="1"/>
  <c r="H24" i="25" s="1"/>
  <c r="H25" i="25" s="1"/>
  <c r="H26" i="25" s="1"/>
  <c r="H27" i="25" s="1"/>
  <c r="H28" i="25" s="1"/>
  <c r="H29" i="25" s="1"/>
  <c r="H30" i="25" s="1"/>
  <c r="H31" i="25" s="1"/>
  <c r="H32" i="25" s="1"/>
  <c r="H32" i="24"/>
  <c r="H33" i="24" s="1"/>
  <c r="B22" i="23"/>
  <c r="B23" i="23" s="1"/>
  <c r="B24" i="23" s="1"/>
  <c r="B25" i="23" s="1"/>
  <c r="B26" i="23" s="1"/>
  <c r="B27" i="23" s="1"/>
  <c r="B28" i="23" s="1"/>
  <c r="B29" i="23" s="1"/>
  <c r="B30" i="23" s="1"/>
  <c r="B31" i="23" s="1"/>
  <c r="B32" i="23" s="1"/>
  <c r="H11" i="23"/>
  <c r="H12" i="23" s="1"/>
  <c r="H13" i="23" s="1"/>
  <c r="H14" i="23" s="1"/>
  <c r="H15" i="23" s="1"/>
  <c r="H16" i="23" s="1"/>
  <c r="H17" i="23" s="1"/>
  <c r="H18" i="23" s="1"/>
  <c r="H19" i="23" s="1"/>
  <c r="G35" i="23"/>
  <c r="G36" i="23" s="1"/>
  <c r="D36" i="22"/>
  <c r="F35" i="22"/>
  <c r="E35" i="22" s="1"/>
  <c r="E34" i="22"/>
  <c r="E33" i="22"/>
  <c r="G32" i="22"/>
  <c r="E32" i="22"/>
  <c r="G31" i="22"/>
  <c r="E31" i="22"/>
  <c r="G30" i="22"/>
  <c r="E30" i="22"/>
  <c r="G29" i="22"/>
  <c r="E29" i="22"/>
  <c r="G28" i="22"/>
  <c r="E28" i="22"/>
  <c r="G27" i="22"/>
  <c r="E27" i="22"/>
  <c r="G26" i="22"/>
  <c r="E26" i="22"/>
  <c r="G25" i="22"/>
  <c r="E25" i="22"/>
  <c r="G24" i="22"/>
  <c r="E24" i="22"/>
  <c r="G23" i="22"/>
  <c r="E23" i="22"/>
  <c r="G22" i="22"/>
  <c r="E22" i="22"/>
  <c r="G21" i="22"/>
  <c r="E21" i="22"/>
  <c r="G20" i="22"/>
  <c r="E20" i="22"/>
  <c r="G19" i="22"/>
  <c r="E19" i="22"/>
  <c r="G18" i="22"/>
  <c r="E18" i="22"/>
  <c r="G17" i="22"/>
  <c r="E17" i="22"/>
  <c r="G16" i="22"/>
  <c r="E16" i="22"/>
  <c r="G15" i="22"/>
  <c r="E15" i="22"/>
  <c r="G14" i="22"/>
  <c r="E14" i="22"/>
  <c r="G13" i="22"/>
  <c r="E13" i="22"/>
  <c r="G12" i="22"/>
  <c r="E12" i="22"/>
  <c r="G11" i="22"/>
  <c r="E11" i="22"/>
  <c r="B11" i="22"/>
  <c r="B12" i="22" s="1"/>
  <c r="B13" i="22" s="1"/>
  <c r="B14" i="22" s="1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G10" i="22"/>
  <c r="E10" i="22"/>
  <c r="D36" i="21"/>
  <c r="E15" i="21"/>
  <c r="E10" i="21"/>
  <c r="F35" i="21"/>
  <c r="E35" i="21" s="1"/>
  <c r="E34" i="21"/>
  <c r="E33" i="21"/>
  <c r="G32" i="21"/>
  <c r="E32" i="21"/>
  <c r="G31" i="21"/>
  <c r="E31" i="21"/>
  <c r="G30" i="21"/>
  <c r="E30" i="21"/>
  <c r="G29" i="21"/>
  <c r="E29" i="21"/>
  <c r="G28" i="21"/>
  <c r="E28" i="21"/>
  <c r="G27" i="21"/>
  <c r="E27" i="21"/>
  <c r="G26" i="21"/>
  <c r="E26" i="21"/>
  <c r="G25" i="21"/>
  <c r="E25" i="21"/>
  <c r="G24" i="21"/>
  <c r="E24" i="21"/>
  <c r="G23" i="21"/>
  <c r="E23" i="21"/>
  <c r="G22" i="21"/>
  <c r="E22" i="21"/>
  <c r="G21" i="21"/>
  <c r="E21" i="21"/>
  <c r="G20" i="21"/>
  <c r="E20" i="21"/>
  <c r="G19" i="21"/>
  <c r="E19" i="21"/>
  <c r="G18" i="21"/>
  <c r="E18" i="21"/>
  <c r="G17" i="21"/>
  <c r="E17" i="21"/>
  <c r="G16" i="21"/>
  <c r="E16" i="21"/>
  <c r="G15" i="21"/>
  <c r="G14" i="21"/>
  <c r="E14" i="21"/>
  <c r="G13" i="21"/>
  <c r="E13" i="21"/>
  <c r="G12" i="21"/>
  <c r="E12" i="21"/>
  <c r="G11" i="21"/>
  <c r="E11" i="21"/>
  <c r="B11" i="2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G10" i="21"/>
  <c r="H30" i="29" l="1"/>
  <c r="H31" i="29" s="1"/>
  <c r="H31" i="26"/>
  <c r="H32" i="26" s="1"/>
  <c r="H32" i="30"/>
  <c r="H9" i="31" s="1"/>
  <c r="E36" i="22"/>
  <c r="H23" i="28"/>
  <c r="H24" i="28" s="1"/>
  <c r="H25" i="28" s="1"/>
  <c r="H26" i="28" s="1"/>
  <c r="H27" i="28" s="1"/>
  <c r="H28" i="28" s="1"/>
  <c r="H29" i="28" s="1"/>
  <c r="H30" i="28" s="1"/>
  <c r="H34" i="24"/>
  <c r="H35" i="24" s="1"/>
  <c r="H20" i="23"/>
  <c r="H21" i="23" s="1"/>
  <c r="H22" i="23" s="1"/>
  <c r="H23" i="23" s="1"/>
  <c r="H24" i="23" s="1"/>
  <c r="H25" i="23" s="1"/>
  <c r="H26" i="23" s="1"/>
  <c r="H27" i="23" s="1"/>
  <c r="H28" i="23" s="1"/>
  <c r="H29" i="23" s="1"/>
  <c r="H30" i="23" s="1"/>
  <c r="H31" i="23" s="1"/>
  <c r="H32" i="23" s="1"/>
  <c r="H33" i="23" s="1"/>
  <c r="H34" i="23" s="1"/>
  <c r="H35" i="23" s="1"/>
  <c r="H36" i="23" s="1"/>
  <c r="G35" i="22"/>
  <c r="G36" i="22" s="1"/>
  <c r="F36" i="22"/>
  <c r="H10" i="22"/>
  <c r="H11" i="22" s="1"/>
  <c r="H12" i="22" s="1"/>
  <c r="H13" i="22" s="1"/>
  <c r="H14" i="22" s="1"/>
  <c r="H15" i="22" s="1"/>
  <c r="H16" i="22" s="1"/>
  <c r="H17" i="22" s="1"/>
  <c r="H18" i="22" s="1"/>
  <c r="H19" i="22" s="1"/>
  <c r="H20" i="22" s="1"/>
  <c r="H21" i="22" s="1"/>
  <c r="H22" i="22" s="1"/>
  <c r="H23" i="22" s="1"/>
  <c r="H24" i="22" s="1"/>
  <c r="H25" i="22" s="1"/>
  <c r="H26" i="22" s="1"/>
  <c r="H27" i="22" s="1"/>
  <c r="H28" i="22" s="1"/>
  <c r="H29" i="22" s="1"/>
  <c r="H30" i="22" s="1"/>
  <c r="H31" i="22" s="1"/>
  <c r="H32" i="22" s="1"/>
  <c r="H33" i="22" s="1"/>
  <c r="H34" i="22" s="1"/>
  <c r="E36" i="21"/>
  <c r="G35" i="21"/>
  <c r="G36" i="21" s="1"/>
  <c r="F36" i="21"/>
  <c r="H10" i="21"/>
  <c r="H11" i="21" s="1"/>
  <c r="H12" i="21" s="1"/>
  <c r="H13" i="21" s="1"/>
  <c r="H14" i="21" s="1"/>
  <c r="H15" i="21" s="1"/>
  <c r="H16" i="21" s="1"/>
  <c r="H17" i="21" s="1"/>
  <c r="H18" i="21" s="1"/>
  <c r="H19" i="21" s="1"/>
  <c r="H20" i="21" s="1"/>
  <c r="H21" i="21" s="1"/>
  <c r="H22" i="21" s="1"/>
  <c r="H23" i="21" s="1"/>
  <c r="H24" i="21" s="1"/>
  <c r="H25" i="21" s="1"/>
  <c r="H26" i="21" s="1"/>
  <c r="H27" i="21" s="1"/>
  <c r="H28" i="21" s="1"/>
  <c r="H29" i="21" s="1"/>
  <c r="H30" i="21" s="1"/>
  <c r="H31" i="21" s="1"/>
  <c r="H32" i="21" s="1"/>
  <c r="H33" i="21" s="1"/>
  <c r="H34" i="21" s="1"/>
  <c r="D36" i="20"/>
  <c r="E34" i="20"/>
  <c r="F35" i="20"/>
  <c r="E35" i="20" s="1"/>
  <c r="E33" i="20"/>
  <c r="G32" i="20"/>
  <c r="E32" i="20"/>
  <c r="G31" i="20"/>
  <c r="E31" i="20"/>
  <c r="G30" i="20"/>
  <c r="E30" i="20"/>
  <c r="G29" i="20"/>
  <c r="E29" i="20"/>
  <c r="G28" i="20"/>
  <c r="E28" i="20"/>
  <c r="G27" i="20"/>
  <c r="E27" i="20"/>
  <c r="G26" i="20"/>
  <c r="E26" i="20"/>
  <c r="G25" i="20"/>
  <c r="E25" i="20"/>
  <c r="G24" i="20"/>
  <c r="E24" i="20"/>
  <c r="G23" i="20"/>
  <c r="E23" i="20"/>
  <c r="G22" i="20"/>
  <c r="E22" i="20"/>
  <c r="G21" i="20"/>
  <c r="E21" i="20"/>
  <c r="G20" i="20"/>
  <c r="E20" i="20"/>
  <c r="G19" i="20"/>
  <c r="E19" i="20"/>
  <c r="G18" i="20"/>
  <c r="E18" i="20"/>
  <c r="G17" i="20"/>
  <c r="E17" i="20"/>
  <c r="G16" i="20"/>
  <c r="E16" i="20"/>
  <c r="G15" i="20"/>
  <c r="E15" i="20"/>
  <c r="G14" i="20"/>
  <c r="E14" i="20"/>
  <c r="G13" i="20"/>
  <c r="E13" i="20"/>
  <c r="G12" i="20"/>
  <c r="E12" i="20"/>
  <c r="G11" i="20"/>
  <c r="E11" i="20"/>
  <c r="B11" i="20"/>
  <c r="B12" i="20" s="1"/>
  <c r="B13" i="20" s="1"/>
  <c r="B14" i="20" s="1"/>
  <c r="B15" i="20" s="1"/>
  <c r="B16" i="20" s="1"/>
  <c r="B17" i="20" s="1"/>
  <c r="B18" i="20" s="1"/>
  <c r="B19" i="20" s="1"/>
  <c r="B20" i="20" s="1"/>
  <c r="B21" i="20" s="1"/>
  <c r="B22" i="20" s="1"/>
  <c r="B23" i="20" s="1"/>
  <c r="B24" i="20" s="1"/>
  <c r="B25" i="20" s="1"/>
  <c r="B26" i="20" s="1"/>
  <c r="B27" i="20" s="1"/>
  <c r="B28" i="20" s="1"/>
  <c r="B29" i="20" s="1"/>
  <c r="B30" i="20" s="1"/>
  <c r="B31" i="20" s="1"/>
  <c r="B32" i="20" s="1"/>
  <c r="G10" i="20"/>
  <c r="E10" i="20"/>
  <c r="H9" i="27" l="1"/>
  <c r="H10" i="27" s="1"/>
  <c r="H11" i="27" s="1"/>
  <c r="H12" i="27" s="1"/>
  <c r="H13" i="27" s="1"/>
  <c r="H14" i="27" s="1"/>
  <c r="H15" i="27" s="1"/>
  <c r="H16" i="27" s="1"/>
  <c r="H17" i="27" s="1"/>
  <c r="H18" i="27" s="1"/>
  <c r="H19" i="27" s="1"/>
  <c r="H20" i="27" s="1"/>
  <c r="H21" i="27" s="1"/>
  <c r="H22" i="27" s="1"/>
  <c r="H23" i="27" s="1"/>
  <c r="H24" i="27" s="1"/>
  <c r="H25" i="27" s="1"/>
  <c r="H26" i="27" s="1"/>
  <c r="H27" i="27" s="1"/>
  <c r="H28" i="27" s="1"/>
  <c r="H29" i="27" s="1"/>
  <c r="H10" i="31"/>
  <c r="H11" i="31" s="1"/>
  <c r="H12" i="31" s="1"/>
  <c r="H13" i="31" s="1"/>
  <c r="H14" i="31" s="1"/>
  <c r="H15" i="31" s="1"/>
  <c r="H16" i="31" s="1"/>
  <c r="H17" i="31" s="1"/>
  <c r="H18" i="31" s="1"/>
  <c r="H19" i="31" s="1"/>
  <c r="H20" i="31" s="1"/>
  <c r="H21" i="31" s="1"/>
  <c r="H22" i="31" s="1"/>
  <c r="H23" i="31" s="1"/>
  <c r="H24" i="31" s="1"/>
  <c r="H25" i="31" s="1"/>
  <c r="H26" i="31" s="1"/>
  <c r="H27" i="31" s="1"/>
  <c r="H28" i="31" s="1"/>
  <c r="H29" i="31" s="1"/>
  <c r="H30" i="31" s="1"/>
  <c r="H31" i="31" s="1"/>
  <c r="H32" i="31" s="1"/>
  <c r="H9" i="30"/>
  <c r="H10" i="30" s="1"/>
  <c r="H11" i="30" s="1"/>
  <c r="H12" i="30" s="1"/>
  <c r="H13" i="30" s="1"/>
  <c r="H14" i="30" s="1"/>
  <c r="H15" i="30" s="1"/>
  <c r="H16" i="30" s="1"/>
  <c r="H17" i="30" s="1"/>
  <c r="H18" i="30" s="1"/>
  <c r="H19" i="30" s="1"/>
  <c r="H20" i="30" s="1"/>
  <c r="H21" i="30" s="1"/>
  <c r="H22" i="30" s="1"/>
  <c r="H23" i="30" s="1"/>
  <c r="H24" i="30" s="1"/>
  <c r="H25" i="30" s="1"/>
  <c r="H26" i="30" s="1"/>
  <c r="H27" i="30" s="1"/>
  <c r="H28" i="30" s="1"/>
  <c r="H29" i="30" s="1"/>
  <c r="H30" i="30" s="1"/>
  <c r="H32" i="29"/>
  <c r="H35" i="21"/>
  <c r="H36" i="21" s="1"/>
  <c r="H35" i="22"/>
  <c r="H36" i="22" s="1"/>
  <c r="F36" i="20"/>
  <c r="E36" i="20"/>
  <c r="G35" i="20"/>
  <c r="G36" i="20" s="1"/>
  <c r="H10" i="20"/>
  <c r="H11" i="20" s="1"/>
  <c r="H12" i="20" s="1"/>
  <c r="H13" i="20" s="1"/>
  <c r="H14" i="20" s="1"/>
  <c r="H15" i="20" s="1"/>
  <c r="H16" i="20" s="1"/>
  <c r="H17" i="20" s="1"/>
  <c r="H18" i="20" s="1"/>
  <c r="H19" i="20" s="1"/>
  <c r="H20" i="20" s="1"/>
  <c r="H21" i="20" s="1"/>
  <c r="H22" i="20" s="1"/>
  <c r="H23" i="20" s="1"/>
  <c r="H24" i="20" s="1"/>
  <c r="H25" i="20" s="1"/>
  <c r="H26" i="20" s="1"/>
  <c r="H27" i="20" s="1"/>
  <c r="H28" i="20" s="1"/>
  <c r="H29" i="20" s="1"/>
  <c r="H30" i="20" s="1"/>
  <c r="H31" i="20" s="1"/>
  <c r="H32" i="20" s="1"/>
  <c r="E34" i="19"/>
  <c r="E33" i="19"/>
  <c r="J33" i="31" l="1"/>
  <c r="H33" i="31"/>
  <c r="H34" i="31" s="1"/>
  <c r="H9" i="32" s="1"/>
  <c r="H10" i="32" s="1"/>
  <c r="H11" i="32" s="1"/>
  <c r="H12" i="32" s="1"/>
  <c r="H13" i="32" s="1"/>
  <c r="H14" i="32" s="1"/>
  <c r="H15" i="32" s="1"/>
  <c r="H16" i="32" s="1"/>
  <c r="H17" i="32" s="1"/>
  <c r="H18" i="32" s="1"/>
  <c r="H19" i="32" s="1"/>
  <c r="H20" i="32" s="1"/>
  <c r="H21" i="32" s="1"/>
  <c r="H22" i="32" s="1"/>
  <c r="H23" i="32" s="1"/>
  <c r="H24" i="32" s="1"/>
  <c r="H25" i="32" s="1"/>
  <c r="H26" i="32" s="1"/>
  <c r="H27" i="32" s="1"/>
  <c r="H28" i="32" s="1"/>
  <c r="H29" i="32" s="1"/>
  <c r="H30" i="32" s="1"/>
  <c r="H33" i="20"/>
  <c r="H34" i="20" s="1"/>
  <c r="H35" i="20" s="1"/>
  <c r="H36" i="20" s="1"/>
  <c r="D36" i="19"/>
  <c r="E32" i="19"/>
  <c r="G32" i="19"/>
  <c r="F35" i="19"/>
  <c r="F36" i="19" s="1"/>
  <c r="G31" i="19"/>
  <c r="E31" i="19"/>
  <c r="G30" i="19"/>
  <c r="E30" i="19"/>
  <c r="G29" i="19"/>
  <c r="E29" i="19"/>
  <c r="G28" i="19"/>
  <c r="E28" i="19"/>
  <c r="G27" i="19"/>
  <c r="E27" i="19"/>
  <c r="G26" i="19"/>
  <c r="E26" i="19"/>
  <c r="G25" i="19"/>
  <c r="E25" i="19"/>
  <c r="G24" i="19"/>
  <c r="E24" i="19"/>
  <c r="G23" i="19"/>
  <c r="E23" i="19"/>
  <c r="G22" i="19"/>
  <c r="E22" i="19"/>
  <c r="G21" i="19"/>
  <c r="E21" i="19"/>
  <c r="G20" i="19"/>
  <c r="E20" i="19"/>
  <c r="G19" i="19"/>
  <c r="E19" i="19"/>
  <c r="G18" i="19"/>
  <c r="E18" i="19"/>
  <c r="G17" i="19"/>
  <c r="E17" i="19"/>
  <c r="G16" i="19"/>
  <c r="E16" i="19"/>
  <c r="G15" i="19"/>
  <c r="E15" i="19"/>
  <c r="G14" i="19"/>
  <c r="E14" i="19"/>
  <c r="G13" i="19"/>
  <c r="E13" i="19"/>
  <c r="G12" i="19"/>
  <c r="E12" i="19"/>
  <c r="G11" i="19"/>
  <c r="E11" i="19"/>
  <c r="B11" i="19"/>
  <c r="B12" i="19" s="1"/>
  <c r="B13" i="19" s="1"/>
  <c r="B14" i="19" s="1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G10" i="19"/>
  <c r="E10" i="19"/>
  <c r="H31" i="32" l="1"/>
  <c r="H32" i="32" s="1"/>
  <c r="H33" i="32" s="1"/>
  <c r="H34" i="32" s="1"/>
  <c r="J31" i="32"/>
  <c r="G35" i="19"/>
  <c r="G36" i="19" s="1"/>
  <c r="E35" i="19"/>
  <c r="E36" i="19" s="1"/>
  <c r="H10" i="19"/>
  <c r="H11" i="19" s="1"/>
  <c r="H12" i="19" s="1"/>
  <c r="H13" i="19" s="1"/>
  <c r="H14" i="19" s="1"/>
  <c r="H15" i="19" s="1"/>
  <c r="H16" i="19" s="1"/>
  <c r="H17" i="19" s="1"/>
  <c r="H18" i="19" s="1"/>
  <c r="H19" i="19" s="1"/>
  <c r="H20" i="19" s="1"/>
  <c r="H21" i="19" s="1"/>
  <c r="H22" i="19" s="1"/>
  <c r="H23" i="19" s="1"/>
  <c r="H24" i="19" s="1"/>
  <c r="H25" i="19" s="1"/>
  <c r="H26" i="19" s="1"/>
  <c r="H27" i="19" s="1"/>
  <c r="H28" i="19" s="1"/>
  <c r="H29" i="19" s="1"/>
  <c r="H30" i="19" s="1"/>
  <c r="H31" i="19" s="1"/>
  <c r="G29" i="18"/>
  <c r="H32" i="19" l="1"/>
  <c r="E32" i="18"/>
  <c r="E29" i="18"/>
  <c r="D39" i="17"/>
  <c r="F38" i="17"/>
  <c r="E38" i="17" s="1"/>
  <c r="G37" i="17"/>
  <c r="E37" i="17"/>
  <c r="G36" i="17"/>
  <c r="E36" i="17"/>
  <c r="B36" i="17"/>
  <c r="B37" i="17" s="1"/>
  <c r="B38" i="17" s="1"/>
  <c r="E35" i="17"/>
  <c r="E34" i="17"/>
  <c r="E33" i="17"/>
  <c r="E32" i="17"/>
  <c r="G31" i="17"/>
  <c r="E31" i="17"/>
  <c r="G30" i="17"/>
  <c r="E30" i="17"/>
  <c r="G29" i="17"/>
  <c r="E29" i="17"/>
  <c r="G28" i="17"/>
  <c r="E28" i="17"/>
  <c r="G27" i="17"/>
  <c r="E27" i="17"/>
  <c r="G26" i="17"/>
  <c r="E26" i="17"/>
  <c r="G25" i="17"/>
  <c r="E25" i="17"/>
  <c r="G24" i="17"/>
  <c r="E24" i="17"/>
  <c r="G23" i="17"/>
  <c r="E23" i="17"/>
  <c r="G22" i="17"/>
  <c r="E22" i="17"/>
  <c r="G21" i="17"/>
  <c r="E21" i="17"/>
  <c r="G20" i="17"/>
  <c r="E20" i="17"/>
  <c r="G19" i="17"/>
  <c r="E19" i="17"/>
  <c r="G18" i="17"/>
  <c r="E18" i="17"/>
  <c r="G17" i="17"/>
  <c r="E17" i="17"/>
  <c r="G16" i="17"/>
  <c r="E16" i="17"/>
  <c r="G15" i="17"/>
  <c r="E15" i="17"/>
  <c r="G14" i="17"/>
  <c r="E14" i="17"/>
  <c r="G13" i="17"/>
  <c r="E13" i="17"/>
  <c r="G12" i="17"/>
  <c r="E12" i="17"/>
  <c r="G11" i="17"/>
  <c r="E11" i="17"/>
  <c r="B11" i="17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28" i="17" s="1"/>
  <c r="B29" i="17" s="1"/>
  <c r="B30" i="17" s="1"/>
  <c r="B31" i="17" s="1"/>
  <c r="G10" i="17"/>
  <c r="E10" i="17"/>
  <c r="E39" i="17" l="1"/>
  <c r="G39" i="17"/>
  <c r="H33" i="19"/>
  <c r="H34" i="19" s="1"/>
  <c r="H35" i="19" s="1"/>
  <c r="H36" i="19" s="1"/>
  <c r="H10" i="17"/>
  <c r="H11" i="17" s="1"/>
  <c r="H12" i="17" s="1"/>
  <c r="H13" i="17" s="1"/>
  <c r="H14" i="17" s="1"/>
  <c r="H15" i="17" s="1"/>
  <c r="H16" i="17" s="1"/>
  <c r="H17" i="17" s="1"/>
  <c r="H18" i="17" s="1"/>
  <c r="H19" i="17" s="1"/>
  <c r="H20" i="17" s="1"/>
  <c r="H21" i="17" s="1"/>
  <c r="H22" i="17" s="1"/>
  <c r="H23" i="17" s="1"/>
  <c r="H24" i="17" s="1"/>
  <c r="H25" i="17" s="1"/>
  <c r="H26" i="17" s="1"/>
  <c r="H27" i="17" s="1"/>
  <c r="H28" i="17" s="1"/>
  <c r="H29" i="17" s="1"/>
  <c r="H30" i="17" s="1"/>
  <c r="H31" i="17" s="1"/>
  <c r="H32" i="17" s="1"/>
  <c r="H33" i="17" s="1"/>
  <c r="G38" i="17"/>
  <c r="F39" i="17"/>
  <c r="H34" i="17" l="1"/>
  <c r="H35" i="17" s="1"/>
  <c r="H36" i="17" s="1"/>
  <c r="H37" i="17" s="1"/>
  <c r="H38" i="17" s="1"/>
  <c r="H39" i="17" s="1"/>
  <c r="D39" i="18"/>
  <c r="F38" i="18"/>
  <c r="E38" i="18" s="1"/>
  <c r="G37" i="18"/>
  <c r="E37" i="18"/>
  <c r="G36" i="18"/>
  <c r="E36" i="18"/>
  <c r="B36" i="18"/>
  <c r="B37" i="18" s="1"/>
  <c r="B38" i="18" s="1"/>
  <c r="E35" i="18"/>
  <c r="G31" i="18"/>
  <c r="E31" i="18"/>
  <c r="G30" i="18"/>
  <c r="E30" i="18"/>
  <c r="G28" i="18"/>
  <c r="E28" i="18"/>
  <c r="G27" i="18"/>
  <c r="E27" i="18"/>
  <c r="G26" i="18"/>
  <c r="E26" i="18"/>
  <c r="G25" i="18"/>
  <c r="E25" i="18"/>
  <c r="G24" i="18"/>
  <c r="E24" i="18"/>
  <c r="G23" i="18"/>
  <c r="E23" i="18"/>
  <c r="G22" i="18"/>
  <c r="E22" i="18"/>
  <c r="G21" i="18"/>
  <c r="E21" i="18"/>
  <c r="G20" i="18"/>
  <c r="E20" i="18"/>
  <c r="G19" i="18"/>
  <c r="E19" i="18"/>
  <c r="G18" i="18"/>
  <c r="E18" i="18"/>
  <c r="G17" i="18"/>
  <c r="E17" i="18"/>
  <c r="G16" i="18"/>
  <c r="E16" i="18"/>
  <c r="G15" i="18"/>
  <c r="E15" i="18"/>
  <c r="G14" i="18"/>
  <c r="E14" i="18"/>
  <c r="G13" i="18"/>
  <c r="E13" i="18"/>
  <c r="G12" i="18"/>
  <c r="E12" i="18"/>
  <c r="G11" i="18"/>
  <c r="E11" i="18"/>
  <c r="B11" i="18"/>
  <c r="B12" i="18" s="1"/>
  <c r="B13" i="18" s="1"/>
  <c r="B14" i="18" s="1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G10" i="18"/>
  <c r="H10" i="18" s="1"/>
  <c r="E10" i="18"/>
  <c r="H11" i="18" l="1"/>
  <c r="H12" i="18" s="1"/>
  <c r="H13" i="18" s="1"/>
  <c r="H14" i="18" s="1"/>
  <c r="H15" i="18" s="1"/>
  <c r="H16" i="18" s="1"/>
  <c r="H17" i="18" s="1"/>
  <c r="H18" i="18" s="1"/>
  <c r="H19" i="18" s="1"/>
  <c r="H20" i="18" s="1"/>
  <c r="H21" i="18" s="1"/>
  <c r="H22" i="18" s="1"/>
  <c r="H23" i="18" s="1"/>
  <c r="H24" i="18" s="1"/>
  <c r="H25" i="18" s="1"/>
  <c r="H26" i="18" s="1"/>
  <c r="H27" i="18" s="1"/>
  <c r="H28" i="18" s="1"/>
  <c r="H29" i="18" s="1"/>
  <c r="H30" i="18" s="1"/>
  <c r="H31" i="18" s="1"/>
  <c r="H32" i="18" s="1"/>
  <c r="H33" i="18" s="1"/>
  <c r="H34" i="18" s="1"/>
  <c r="H35" i="18" s="1"/>
  <c r="H36" i="18" s="1"/>
  <c r="H37" i="18" s="1"/>
  <c r="E39" i="18"/>
  <c r="G39" i="18"/>
  <c r="G38" i="18"/>
  <c r="F39" i="18"/>
  <c r="H38" i="18" l="1"/>
  <c r="H39" i="18" s="1"/>
  <c r="B36" i="16"/>
  <c r="B37" i="16" s="1"/>
  <c r="B38" i="16" s="1"/>
  <c r="E36" i="16"/>
  <c r="G36" i="16"/>
  <c r="E37" i="16"/>
  <c r="G37" i="16"/>
  <c r="F38" i="16"/>
  <c r="G38" i="16" s="1"/>
  <c r="E34" i="16"/>
  <c r="E35" i="16"/>
  <c r="G30" i="16"/>
  <c r="G31" i="16"/>
  <c r="E30" i="16"/>
  <c r="E31" i="16"/>
  <c r="E26" i="16"/>
  <c r="D39" i="16"/>
  <c r="G33" i="16"/>
  <c r="E33" i="16"/>
  <c r="B33" i="16"/>
  <c r="B34" i="16" s="1"/>
  <c r="E32" i="16"/>
  <c r="G29" i="16"/>
  <c r="E29" i="16"/>
  <c r="G28" i="16"/>
  <c r="E28" i="16"/>
  <c r="G27" i="16"/>
  <c r="E27" i="16"/>
  <c r="G26" i="16"/>
  <c r="G25" i="16"/>
  <c r="E25" i="16"/>
  <c r="G24" i="16"/>
  <c r="E24" i="16"/>
  <c r="G23" i="16"/>
  <c r="E23" i="16"/>
  <c r="G22" i="16"/>
  <c r="E22" i="16"/>
  <c r="G21" i="16"/>
  <c r="E21" i="16"/>
  <c r="G20" i="16"/>
  <c r="E20" i="16"/>
  <c r="G19" i="16"/>
  <c r="E19" i="16"/>
  <c r="G18" i="16"/>
  <c r="E18" i="16"/>
  <c r="G17" i="16"/>
  <c r="E17" i="16"/>
  <c r="G16" i="16"/>
  <c r="E16" i="16"/>
  <c r="G15" i="16"/>
  <c r="E15" i="16"/>
  <c r="G14" i="16"/>
  <c r="E14" i="16"/>
  <c r="G13" i="16"/>
  <c r="E13" i="16"/>
  <c r="G12" i="16"/>
  <c r="E12" i="16"/>
  <c r="G11" i="16"/>
  <c r="E11" i="16"/>
  <c r="B11" i="16"/>
  <c r="B12" i="16" s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G10" i="16"/>
  <c r="H10" i="16" s="1"/>
  <c r="E10" i="16"/>
  <c r="E38" i="16" l="1"/>
  <c r="F39" i="16"/>
  <c r="G39" i="16"/>
  <c r="H11" i="16"/>
  <c r="H12" i="16" s="1"/>
  <c r="H13" i="16" s="1"/>
  <c r="H14" i="16" s="1"/>
  <c r="H15" i="16" s="1"/>
  <c r="H16" i="16" s="1"/>
  <c r="H17" i="16" s="1"/>
  <c r="H18" i="16" s="1"/>
  <c r="H19" i="16" s="1"/>
  <c r="H20" i="16" s="1"/>
  <c r="H21" i="16" s="1"/>
  <c r="H22" i="16" s="1"/>
  <c r="H23" i="16" s="1"/>
  <c r="H24" i="16" s="1"/>
  <c r="H25" i="16" s="1"/>
  <c r="H26" i="16" s="1"/>
  <c r="H27" i="16" s="1"/>
  <c r="H28" i="16" s="1"/>
  <c r="H29" i="16" s="1"/>
  <c r="H30" i="16" s="1"/>
  <c r="H31" i="16" s="1"/>
  <c r="H32" i="16" s="1"/>
  <c r="E39" i="16"/>
  <c r="E30" i="15"/>
  <c r="G29" i="15"/>
  <c r="B31" i="15"/>
  <c r="B32" i="15" s="1"/>
  <c r="B33" i="15" s="1"/>
  <c r="B34" i="15" s="1"/>
  <c r="B35" i="15" s="1"/>
  <c r="B36" i="15" s="1"/>
  <c r="G31" i="15"/>
  <c r="G32" i="15"/>
  <c r="G33" i="15"/>
  <c r="G34" i="15"/>
  <c r="G35" i="15"/>
  <c r="D37" i="15"/>
  <c r="F36" i="15"/>
  <c r="E36" i="15" s="1"/>
  <c r="E35" i="15"/>
  <c r="E34" i="15"/>
  <c r="E33" i="15"/>
  <c r="E32" i="15"/>
  <c r="E31" i="15"/>
  <c r="E29" i="15"/>
  <c r="G28" i="15"/>
  <c r="E28" i="15"/>
  <c r="G27" i="15"/>
  <c r="E27" i="15"/>
  <c r="G26" i="15"/>
  <c r="E26" i="15"/>
  <c r="G25" i="15"/>
  <c r="E25" i="15"/>
  <c r="G24" i="15"/>
  <c r="E24" i="15"/>
  <c r="G23" i="15"/>
  <c r="E23" i="15"/>
  <c r="G22" i="15"/>
  <c r="E22" i="15"/>
  <c r="G21" i="15"/>
  <c r="E21" i="15"/>
  <c r="G20" i="15"/>
  <c r="E20" i="15"/>
  <c r="G19" i="15"/>
  <c r="E19" i="15"/>
  <c r="G18" i="15"/>
  <c r="E18" i="15"/>
  <c r="G17" i="15"/>
  <c r="E17" i="15"/>
  <c r="G16" i="15"/>
  <c r="E16" i="15"/>
  <c r="G15" i="15"/>
  <c r="E15" i="15"/>
  <c r="G14" i="15"/>
  <c r="E14" i="15"/>
  <c r="G13" i="15"/>
  <c r="E13" i="15"/>
  <c r="G12" i="15"/>
  <c r="E12" i="15"/>
  <c r="G11" i="15"/>
  <c r="E11" i="15"/>
  <c r="B11" i="15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23" i="15" s="1"/>
  <c r="B24" i="15" s="1"/>
  <c r="B25" i="15" s="1"/>
  <c r="B26" i="15" s="1"/>
  <c r="B27" i="15" s="1"/>
  <c r="B28" i="15" s="1"/>
  <c r="B29" i="15" s="1"/>
  <c r="G10" i="15"/>
  <c r="E10" i="15"/>
  <c r="E31" i="14"/>
  <c r="E32" i="14"/>
  <c r="E33" i="14"/>
  <c r="E34" i="14"/>
  <c r="E35" i="14"/>
  <c r="B36" i="14"/>
  <c r="F36" i="14"/>
  <c r="G36" i="14" s="1"/>
  <c r="G29" i="14"/>
  <c r="E29" i="14"/>
  <c r="D37" i="14"/>
  <c r="E30" i="14"/>
  <c r="G28" i="14"/>
  <c r="E28" i="14"/>
  <c r="G27" i="14"/>
  <c r="E27" i="14"/>
  <c r="G26" i="14"/>
  <c r="E26" i="14"/>
  <c r="G25" i="14"/>
  <c r="E25" i="14"/>
  <c r="G24" i="14"/>
  <c r="E24" i="14"/>
  <c r="G23" i="14"/>
  <c r="E23" i="14"/>
  <c r="G22" i="14"/>
  <c r="E22" i="14"/>
  <c r="G21" i="14"/>
  <c r="E21" i="14"/>
  <c r="G20" i="14"/>
  <c r="E20" i="14"/>
  <c r="G19" i="14"/>
  <c r="E19" i="14"/>
  <c r="G18" i="14"/>
  <c r="E18" i="14"/>
  <c r="G17" i="14"/>
  <c r="E17" i="14"/>
  <c r="G16" i="14"/>
  <c r="E16" i="14"/>
  <c r="G15" i="14"/>
  <c r="E15" i="14"/>
  <c r="G14" i="14"/>
  <c r="E14" i="14"/>
  <c r="G13" i="14"/>
  <c r="E13" i="14"/>
  <c r="G12" i="14"/>
  <c r="E12" i="14"/>
  <c r="G11" i="14"/>
  <c r="E11" i="14"/>
  <c r="B11" i="14"/>
  <c r="B12" i="14" s="1"/>
  <c r="B13" i="14" s="1"/>
  <c r="B14" i="14" s="1"/>
  <c r="B15" i="14" s="1"/>
  <c r="B16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G10" i="14"/>
  <c r="E10" i="14"/>
  <c r="D39" i="13"/>
  <c r="F38" i="13"/>
  <c r="E38" i="13" s="1"/>
  <c r="E37" i="13"/>
  <c r="E36" i="13"/>
  <c r="E35" i="13"/>
  <c r="E34" i="13"/>
  <c r="E33" i="13"/>
  <c r="E32" i="13"/>
  <c r="E31" i="13"/>
  <c r="G30" i="13"/>
  <c r="E30" i="13"/>
  <c r="G29" i="13"/>
  <c r="E29" i="13"/>
  <c r="G28" i="13"/>
  <c r="E28" i="13"/>
  <c r="G27" i="13"/>
  <c r="E27" i="13"/>
  <c r="G26" i="13"/>
  <c r="E26" i="13"/>
  <c r="G25" i="13"/>
  <c r="E25" i="13"/>
  <c r="G24" i="13"/>
  <c r="E24" i="13"/>
  <c r="G23" i="13"/>
  <c r="E23" i="13"/>
  <c r="G22" i="13"/>
  <c r="E22" i="13"/>
  <c r="G21" i="13"/>
  <c r="E21" i="13"/>
  <c r="G20" i="13"/>
  <c r="E20" i="13"/>
  <c r="G19" i="13"/>
  <c r="E19" i="13"/>
  <c r="G18" i="13"/>
  <c r="E18" i="13"/>
  <c r="G17" i="13"/>
  <c r="E17" i="13"/>
  <c r="G16" i="13"/>
  <c r="E16" i="13"/>
  <c r="G15" i="13"/>
  <c r="E15" i="13"/>
  <c r="G14" i="13"/>
  <c r="E14" i="13"/>
  <c r="G13" i="13"/>
  <c r="E13" i="13"/>
  <c r="G12" i="13"/>
  <c r="E12" i="13"/>
  <c r="G11" i="13"/>
  <c r="E11" i="13"/>
  <c r="B11" i="13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8" i="13" s="1"/>
  <c r="G10" i="13"/>
  <c r="H10" i="13" s="1"/>
  <c r="E10" i="13"/>
  <c r="G37" i="15" l="1"/>
  <c r="H33" i="16"/>
  <c r="H34" i="16" s="1"/>
  <c r="F37" i="15"/>
  <c r="G36" i="15"/>
  <c r="E37" i="15"/>
  <c r="H10" i="15"/>
  <c r="H11" i="15" s="1"/>
  <c r="H12" i="15" s="1"/>
  <c r="H13" i="15" s="1"/>
  <c r="H14" i="15" s="1"/>
  <c r="H15" i="15" s="1"/>
  <c r="H16" i="15" s="1"/>
  <c r="H17" i="15" s="1"/>
  <c r="H18" i="15" s="1"/>
  <c r="H19" i="15" s="1"/>
  <c r="H20" i="15" s="1"/>
  <c r="H21" i="15" s="1"/>
  <c r="H22" i="15" s="1"/>
  <c r="H23" i="15" s="1"/>
  <c r="H24" i="15" s="1"/>
  <c r="H25" i="15" s="1"/>
  <c r="H26" i="15" s="1"/>
  <c r="H27" i="15" s="1"/>
  <c r="H28" i="15" s="1"/>
  <c r="H29" i="15" s="1"/>
  <c r="H30" i="15" s="1"/>
  <c r="H31" i="15" s="1"/>
  <c r="H32" i="15" s="1"/>
  <c r="H33" i="15" s="1"/>
  <c r="H34" i="15" s="1"/>
  <c r="H35" i="15" s="1"/>
  <c r="E36" i="14"/>
  <c r="E37" i="14" s="1"/>
  <c r="F39" i="13"/>
  <c r="F37" i="14"/>
  <c r="G37" i="14"/>
  <c r="H10" i="14"/>
  <c r="H11" i="14" s="1"/>
  <c r="H12" i="14" s="1"/>
  <c r="H13" i="14" s="1"/>
  <c r="H14" i="14" s="1"/>
  <c r="H15" i="14" s="1"/>
  <c r="H16" i="14" s="1"/>
  <c r="H17" i="14" s="1"/>
  <c r="H18" i="14" s="1"/>
  <c r="H19" i="14" s="1"/>
  <c r="H20" i="14" s="1"/>
  <c r="H21" i="14" s="1"/>
  <c r="H22" i="14" s="1"/>
  <c r="H23" i="14" s="1"/>
  <c r="H24" i="14" s="1"/>
  <c r="H25" i="14" s="1"/>
  <c r="H26" i="14" s="1"/>
  <c r="H27" i="14" s="1"/>
  <c r="H28" i="14" s="1"/>
  <c r="H29" i="14" s="1"/>
  <c r="H30" i="14" s="1"/>
  <c r="H31" i="14" s="1"/>
  <c r="H32" i="14" s="1"/>
  <c r="H33" i="14" s="1"/>
  <c r="H34" i="14" s="1"/>
  <c r="H35" i="14" s="1"/>
  <c r="H36" i="14" s="1"/>
  <c r="H37" i="14" s="1"/>
  <c r="G39" i="13"/>
  <c r="H11" i="13"/>
  <c r="H12" i="13" s="1"/>
  <c r="H13" i="13" s="1"/>
  <c r="H14" i="13" s="1"/>
  <c r="H15" i="13" s="1"/>
  <c r="H16" i="13" s="1"/>
  <c r="H17" i="13" s="1"/>
  <c r="H18" i="13" s="1"/>
  <c r="H19" i="13" s="1"/>
  <c r="H20" i="13" s="1"/>
  <c r="H21" i="13" s="1"/>
  <c r="H22" i="13" s="1"/>
  <c r="H23" i="13" s="1"/>
  <c r="H24" i="13" s="1"/>
  <c r="H25" i="13" s="1"/>
  <c r="H26" i="13" s="1"/>
  <c r="H27" i="13" s="1"/>
  <c r="H28" i="13" s="1"/>
  <c r="H29" i="13" s="1"/>
  <c r="H30" i="13" s="1"/>
  <c r="H31" i="13" s="1"/>
  <c r="E39" i="13"/>
  <c r="G38" i="13"/>
  <c r="H32" i="13" l="1"/>
  <c r="H33" i="13" s="1"/>
  <c r="H34" i="13" s="1"/>
  <c r="H35" i="13" s="1"/>
  <c r="H36" i="13" s="1"/>
  <c r="H37" i="13" s="1"/>
  <c r="H38" i="13" s="1"/>
  <c r="H39" i="13" s="1"/>
  <c r="H36" i="15"/>
  <c r="H37" i="15" s="1"/>
  <c r="H35" i="16"/>
  <c r="H36" i="16" l="1"/>
  <c r="H37" i="16" s="1"/>
  <c r="H38" i="16" s="1"/>
  <c r="H39" i="16" s="1"/>
</calcChain>
</file>

<file path=xl/sharedStrings.xml><?xml version="1.0" encoding="utf-8"?>
<sst xmlns="http://schemas.openxmlformats.org/spreadsheetml/2006/main" count="1254" uniqueCount="192">
  <si>
    <t>CRMV / ES</t>
  </si>
  <si>
    <t>CONSELHO REGIONAL DE MEDICINA VETERINARIA DO ESTADO DO ES</t>
  </si>
  <si>
    <t>CNPJ: 27.398.460/0001-76</t>
  </si>
  <si>
    <t>DATA</t>
  </si>
  <si>
    <t>BANCO/AG</t>
  </si>
  <si>
    <t>25% COTA-PARTE</t>
  </si>
  <si>
    <t>R$ REPASSADO</t>
  </si>
  <si>
    <t>R$ A REPASSAR</t>
  </si>
  <si>
    <t>BB 74053-5</t>
  </si>
  <si>
    <t>TOTAL</t>
  </si>
  <si>
    <t xml:space="preserve">Repasse de cota parte de 25% da Receita para o Conselho Federal de Medicina Veterinária. Valor total de cota parte do mês </t>
  </si>
  <si>
    <t>BB 74052-7</t>
  </si>
  <si>
    <t>*</t>
  </si>
  <si>
    <t>**</t>
  </si>
  <si>
    <t>Período: 01/01/2024 a 31/01/2024</t>
  </si>
  <si>
    <t>COTA-PARTE REFERENTE AO MÊS DE JANEIRO DE 2024</t>
  </si>
  <si>
    <t>R$ 205.479,15  valor repassado no mês R$ 204.507,16.</t>
  </si>
  <si>
    <t>Período: 01/02/2024 a 29/02/2024</t>
  </si>
  <si>
    <t>COTA-PARTE REFERENTE AO MÊS DE FEVEREIRO DE 2024</t>
  </si>
  <si>
    <t xml:space="preserve"> BB 74052-7</t>
  </si>
  <si>
    <t xml:space="preserve"> BB 74052-6</t>
  </si>
  <si>
    <t>R$ 194.420,22  valor repassado no mês R$ 201.749,05.</t>
  </si>
  <si>
    <t>* Valor reconhecido em 03/07/2023 como receita mas não considerado na apuração de cota-parte, sendo apurado a cota-parte em dezembro/2023 e repassado em 16/02/2024.</t>
  </si>
  <si>
    <t>** Valor restituido ao Profisisonal em 23/02/2024 sendo compensado da base de cálculo da cota-parte de fevereiro/2024.</t>
  </si>
  <si>
    <t>Período: 01/03/2024 a 31/03/2024</t>
  </si>
  <si>
    <t>COTA-PARTE REFERENTE AO MÊS DE MARÇO DE 2024</t>
  </si>
  <si>
    <t>SALDO FEVEREIRO/2024</t>
  </si>
  <si>
    <t>SALDO JANEIRO/2024</t>
  </si>
  <si>
    <t>SALDO DEZEMBRO/2024</t>
  </si>
  <si>
    <t>R$ 51.853,13  valor repassado no mês R$ 49.261,87.</t>
  </si>
  <si>
    <t>*Valores Referentes a cota parte apurada através de receita de anuidades em dívida ativa, recebido via depósito judicial</t>
  </si>
  <si>
    <t>Período: 01/04/2024 a 30/04/2024</t>
  </si>
  <si>
    <t>SALDO MARÇO/2024</t>
  </si>
  <si>
    <t>BB 74053-6</t>
  </si>
  <si>
    <t>BB 74053-7</t>
  </si>
  <si>
    <t>R$ 53.083,48  valor repassado no mês R$ 50.143,61.</t>
  </si>
  <si>
    <t>** Valor restituido à entidade jurídica em 03/04/2024 sendo compensado da base de cálculo da cota-parte de abril/2024.</t>
  </si>
  <si>
    <t>***</t>
  </si>
  <si>
    <t>*Valores Referentes a cota parte apurada através de receita de anuidades em dívida ativa, recebido via depósito judicial e identificado no mês de abril.</t>
  </si>
  <si>
    <t>***Valor referente cota-parte apurada em 31/01/2024 sobre arrecadação de dívida ativa identificada em janeiro/2024 e repassada no dia 03/04/2024.</t>
  </si>
  <si>
    <t>*Valor referente restituição por repetição de indébito em 22/04/2024, execução orçamentária em 09/05/2024 - ESCOM COMERCIO LTDA, sendo compensado da base de cálculo da cota-parte de maio/2024.</t>
  </si>
  <si>
    <t>R$ 75.401,85  valor repassado no mês R$ 76.696,11.</t>
  </si>
  <si>
    <t>***Valor referente cota-parte apurada em 30/04/2024 sobre arrecadação de dívida ativa identificada em abril/2024 e repassada no dia 20/05/2024.</t>
  </si>
  <si>
    <t>**Valor referente cota-parte apurada em 31/03/2024 sobre arrecadação de dívida ativa identificada em março/2024 e repassada no dia 20/05/2024.</t>
  </si>
  <si>
    <t>COTA-PARTE REFERENTE AO MÊS DE ABRIL DE 2024</t>
  </si>
  <si>
    <t>COTA-PARTE REFERENTE AO MÊS DE MAIO DE 2024</t>
  </si>
  <si>
    <t>Período: 01/06/2024 a 30/06/2024</t>
  </si>
  <si>
    <t>SALDO MAIO/2024</t>
  </si>
  <si>
    <t>Período: 01/05/2024 a 31/05/2024</t>
  </si>
  <si>
    <t>SALDO ABRIL/2024</t>
  </si>
  <si>
    <t>*Valor referente a cota parte apurada através de receita de anuidades em dívida ativa, recebido via depósito judicial e identificado no mês de junho.</t>
  </si>
  <si>
    <r>
      <t xml:space="preserve">R$ 125.244,57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R$ 119.947,58</t>
    </r>
  </si>
  <si>
    <t>Período: 01/07/2024 a 31/07/2024</t>
  </si>
  <si>
    <t>SALDO JUNHO/2024</t>
  </si>
  <si>
    <r>
      <t xml:space="preserve">R$ 53.045,89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R$ 51.053,93</t>
    </r>
  </si>
  <si>
    <t>*Valor referente cota-parte apurada em 30/06/2024 sobre arrecadação de dívida ativa identificada em junho/2024 e repassada no dia 18/07/2024.</t>
  </si>
  <si>
    <t>**Valor referente a cota parte apurada através de receita de anuidades em dívida ativa, recebido via depósito judicial e identificado no mês de julho.</t>
  </si>
  <si>
    <t>COTA-PARTE REFERENTE AO MÊS DE JUNHO DE 2024</t>
  </si>
  <si>
    <t>COTA-PARTE REFERENTE AO MÊS DE JULHO DE 2024</t>
  </si>
  <si>
    <t>COTA-PARTE REFERENTE AO MÊS DE AGOSTO DE 2024</t>
  </si>
  <si>
    <t>Período: 01/08/2024 a 31/08/2024</t>
  </si>
  <si>
    <t>SALDO JULHO/2024</t>
  </si>
  <si>
    <r>
      <t xml:space="preserve">R$ 41.725,57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R$ 45.285,47</t>
    </r>
  </si>
  <si>
    <t>*Valor referente cota-parte apurada em 31/07/2024 sobre arrecadação de dívida ativa identificada em julho/2024 e repassada no dia 19/08/2024.</t>
  </si>
  <si>
    <t>**Valor referente a cota parte apurada através de receita de anuidades em dívida ativa, recebido via depósito judicial e identificado no mês de agosto.</t>
  </si>
  <si>
    <t>Período: 01/09/2024 a 30/09/2024</t>
  </si>
  <si>
    <t>SALDO AGOSTO/2024</t>
  </si>
  <si>
    <r>
      <t xml:space="preserve">R$ 43.759,23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R$ 44.647,43</t>
    </r>
  </si>
  <si>
    <t>*Valor referente cota-parte apurada em 31/08/2024 sobre arrecadação de dívida ativa identificada em agosto/2024 e repassada no dia 23/09/2024.</t>
  </si>
  <si>
    <t>**Valor referente a cota parte apurada através de receita de anuidades em dívida ativa, recebido via depósito judicial e identificado no mês de setembro.</t>
  </si>
  <si>
    <t>COTA-PARTE REFERENTE AO MÊS DE SETEMBRO DE 2024</t>
  </si>
  <si>
    <t>COTA-PARTE REFERENTE AO MÊS DE OUTUBRO DE 2024</t>
  </si>
  <si>
    <t>Período: 01/10/2024 a 31/10/2024</t>
  </si>
  <si>
    <t>SALDO SETEMBRO/2024</t>
  </si>
  <si>
    <r>
      <t xml:space="preserve">R$ 49.806,99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R$ 48.627,71</t>
    </r>
  </si>
  <si>
    <t>*Valor referente cota-parte apurada em 30/09/2024 sobre arrecadação de dívida ativa identificada em setembro/2024 e repassada no dia 15/10/2024.</t>
  </si>
  <si>
    <t>**Valor referente a cota parte apurada através de receita de anuidades em dívida ativa, recebido via depósito judicial e identificado no mês de outubro.</t>
  </si>
  <si>
    <t>Período: 01/11/2024 a 30/11/2024</t>
  </si>
  <si>
    <t>COTA-PARTE REFERENTE AO MÊS DE NOVEMBRO DE 2024</t>
  </si>
  <si>
    <t>SALDO OUTUBRO/2024</t>
  </si>
  <si>
    <r>
      <t xml:space="preserve">R$ 19.187,53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R$ 18.859,53.</t>
    </r>
  </si>
  <si>
    <t>*Valor referente cota-parte apurada em 31/10/2024 sobre arrecadação de dívida ativa identificada em outubro/2024 e repassada no dia 18/11/2024.</t>
  </si>
  <si>
    <t>**Valor referente a cota parte apurada através de receita de anuidades em dívida ativa, recebido via depósito judicial e identificado no mês de novembro/2024.</t>
  </si>
  <si>
    <t>Período: 01/12/2024 a 31/12/2024</t>
  </si>
  <si>
    <t>SALDO NOVEMBRO/2024</t>
  </si>
  <si>
    <r>
      <t xml:space="preserve">R$ 50.273,10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R$ 50.640,15.</t>
    </r>
  </si>
  <si>
    <t>*Valor referente cota-parte apurada em 30/11/2024 sobre arrecadação de dívida ativa identificada em novembro/2024 e repassada no dia 17/12/2024.</t>
  </si>
  <si>
    <t>**Valor referente a cota parte apurada através de receita de anuidades em dívida ativa, recebido via depósito judicial e identificado no mês de dezembro/2024.</t>
  </si>
  <si>
    <t>COTA-PARTE REFERENTE AO MÊS DE DEZEMBRO DE 2024</t>
  </si>
  <si>
    <t>Período: 01/01/2025 a 31/01/2025</t>
  </si>
  <si>
    <t>COTA-PARTE REFERENTE AO MÊS DE JANEIRO DE 2025</t>
  </si>
  <si>
    <r>
      <t xml:space="preserve">R$ 249.283,55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R$ 249.283,55.</t>
    </r>
  </si>
  <si>
    <t>Período: 01/02/2025 a 28/02/2025</t>
  </si>
  <si>
    <t>SALDO JANEIRO/2025</t>
  </si>
  <si>
    <r>
      <t xml:space="preserve">R$ 168.797,72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R$ 169.944,31.</t>
    </r>
  </si>
  <si>
    <t>*Valor referente cota-parte apurada em 31/12/2024 sobre arrecadação de dívida ativa identificada em Dezembro/2024 e repassada no dia 17/02/2025.</t>
  </si>
  <si>
    <t>**Valor referente a cota parte apurada através de receita de anuidades em dívida ativa, recebido via depósito judicial e identificado no mês de feveiro/2025.</t>
  </si>
  <si>
    <t>COTA-PARTE REFERENTE AO MÊS DE FEVEREIRO DE 2025</t>
  </si>
  <si>
    <t>COTA-PARTE REFERENTE AO MÊS DE MARÇO DE 2025</t>
  </si>
  <si>
    <t>Período: 01/03/2025 a 31/03/2025</t>
  </si>
  <si>
    <t>SALDO FEVEREIRO/2025</t>
  </si>
  <si>
    <t>*Valor referente a cota parte apurada através de receita de anuidades em dívida ativa, recebido via depósito judicial e identificado no mês de Março*</t>
  </si>
  <si>
    <r>
      <t xml:space="preserve">R$ 56.281,25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R$ 49.797,55</t>
    </r>
  </si>
  <si>
    <t>Período: 01/04/2025 a 30/04/2025</t>
  </si>
  <si>
    <t>COTA-PARTE REFERENTE AO MÊS DE ABRIL DE 2025</t>
  </si>
  <si>
    <t>SALDO ABRIL/2025</t>
  </si>
  <si>
    <r>
      <t xml:space="preserve">R$ 46.442,27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R$ 48.955,28</t>
    </r>
  </si>
  <si>
    <t>* Valor Repasssado ao CFMV referente a Cota-Parte em aberto apurado em março de 2025.</t>
  </si>
  <si>
    <t>**Valor referente a cota parte apurada através de receita de anuidades em dívida ativa, recebido via depósito judicial e identificado no mês de abril/2025</t>
  </si>
  <si>
    <t>Período: 01/05/2025 a 30/05/2025</t>
  </si>
  <si>
    <t>SALDO MAIO/2025</t>
  </si>
  <si>
    <t>* Valor Repasssado ao CFMV referente a Cota-Parte em aberto apurado em Abril de 2025.</t>
  </si>
  <si>
    <t>COTA-PARTE REFERENTE AO MÊS DE MAIO DE 2025</t>
  </si>
  <si>
    <r>
      <t xml:space="preserve">R$ 93.146,65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R$ 98.616,10</t>
    </r>
  </si>
  <si>
    <t>COTA-PARTE REFERENTE AO MÊS DE JUNHO DE 2025</t>
  </si>
  <si>
    <t>Período: 01/06/2025 a 30/06/2025</t>
  </si>
  <si>
    <t>SALDO JUNHO/2025</t>
  </si>
  <si>
    <t>* Valor Repasssado ao CFMV referente a Cota-Parte em aberto apurado em Maio de 2025.</t>
  </si>
  <si>
    <t>**Valor referente a cota parte apurada através de receita de anuidades em dívida ativa, recebido via depósito judicial e identificado no mês de Junho/2025</t>
  </si>
  <si>
    <r>
      <t xml:space="preserve">R$ 118.020,25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R$ 117.269,08</t>
    </r>
  </si>
  <si>
    <t>* Valor Repasssado ao CFMV referente a Cota-Parte em aberto apurado em Junho de 2025.</t>
  </si>
  <si>
    <t>**Valor referente a cota parte apurada através de receita de anuidades em dívida ativa, recebido via depósito judicial e identificado no mês de Julho/2025</t>
  </si>
  <si>
    <r>
      <t xml:space="preserve">R$ 56.259,25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R$ 50.999,08</t>
    </r>
  </si>
  <si>
    <t>Período: 01/07/2025 a 31/07/2025</t>
  </si>
  <si>
    <t>COTA-PARTE REFERENTE AO MÊS DE JULHO DE 2025</t>
  </si>
  <si>
    <t>Período: 01/08/2025 a 31/08/2025</t>
  </si>
  <si>
    <t>SALDO JULHO/2025</t>
  </si>
  <si>
    <r>
      <t xml:space="preserve">R$ 38.036,14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R$ 38.036,14</t>
    </r>
  </si>
  <si>
    <t>* Valor Repasssado ao CFMV referente a Cota-Parte em aberto apurado em Agosto de 2025.</t>
  </si>
  <si>
    <t>**Valor referente a cota parte apurada através de receita de anuidades em dívida ativa, recebido via depósito judicial e identificado no mês de Agosto/2025.</t>
  </si>
  <si>
    <t>COTA-PARTE REFERENTE AO MÊS DE AGOSTO DE 2025</t>
  </si>
  <si>
    <t>Período: 01/09/2025 a 30/09/2025</t>
  </si>
  <si>
    <t>COTA-PARTE REFERENTE AO MÊS DE SETEMBRO DE 2025</t>
  </si>
  <si>
    <t>SALDO AGOSTO/2025</t>
  </si>
  <si>
    <t>* Valor Repasssado ao CFMV referente a Cota-Parte em aberto apurado em Setembro de 2025.</t>
  </si>
  <si>
    <r>
      <t xml:space="preserve">R$ 48.407,54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R$ 48.407,54</t>
    </r>
  </si>
  <si>
    <t>**Valor referente a cota parte apurada através de receita de anuidades em dívida ativa, recebido via depósito judicial e identificado no mês de Setembro/2025.</t>
  </si>
  <si>
    <t>COTA-PARTE REFERENTE AO MÊS DE OUTUBRO DE 2025</t>
  </si>
  <si>
    <t>SALDO SETEMBRO/2025</t>
  </si>
  <si>
    <t>**Valor referente a cota parte apurada através de receita de anuidades em dívida ativa, recebido via depósito judicial e identificado no mês de Outubro/2025.</t>
  </si>
  <si>
    <t>Período: 01/10/2025 a 31/10/2025</t>
  </si>
  <si>
    <t>* Valor Repasssado ao CFMV referente a Cota-Parte em aberto apurado em Julho de 2025.</t>
  </si>
  <si>
    <t>*** Diferença na receita no valor de R$ 4.982,49, devido a erro nos boletos gerados em outros regionais com repasse.</t>
  </si>
  <si>
    <r>
      <t xml:space="preserve">R$ 40.357,78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R$ 41.855,76</t>
    </r>
  </si>
  <si>
    <t>Período: 01/11/2025 a 30/11/2025</t>
  </si>
  <si>
    <t>COTA-PARTE REFERENTE AO MÊS DE NOVEMBRO DE 2025</t>
  </si>
  <si>
    <t>SALDO OUTUBRO/2025</t>
  </si>
  <si>
    <t>*Valor referente a cota parte apurada através de receita de anuidades em dívida ativa, recebido via depósito judicial e identificado no mês de Novembro/2025</t>
  </si>
  <si>
    <r>
      <t xml:space="preserve">R$ 21.017,82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R$ 17.617,60</t>
    </r>
  </si>
  <si>
    <t>Período: 01/12/2025 a 31/12/2025</t>
  </si>
  <si>
    <t>SALDO NOVEMBRO/2025</t>
  </si>
  <si>
    <t>*Valor referente a cota parte apurada através de receita de anuidades em dívida ativa, recebido via depósito judicial e identificado no mês de Dezembro/2025.</t>
  </si>
  <si>
    <t>* Valor Repasssado ao CFMV referente a Cota-Parte em aberto apurado em Outubro de 2025.</t>
  </si>
  <si>
    <r>
      <t xml:space="preserve">R$ 49.222,87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R$ 50.987,77</t>
    </r>
  </si>
  <si>
    <t>SALDO DEZEMBRO/2025:</t>
  </si>
  <si>
    <t>COTA-PARTE REFERENTE AO MÊS DE JANEIRO DE 2026</t>
  </si>
  <si>
    <t>Período: 01/01/2026 a 31/01/2026</t>
  </si>
  <si>
    <t>BB 74052-5</t>
  </si>
  <si>
    <r>
      <t xml:space="preserve">R$ 204.493,56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R$ 207.893,25</t>
    </r>
  </si>
  <si>
    <t>* Valor Repasssado ao CFMV referente a Cota-Parte em aberto apurado em Novembro de 2025.</t>
  </si>
  <si>
    <t>*Valor referente a cota parte apurada através de receita de anuidades em dívida ativa, recebido via depósito judicial e identificado no mês de Janeiro/2026.</t>
  </si>
  <si>
    <t>SALDO JANEIRO/2026</t>
  </si>
  <si>
    <t>Período: 01/02/2026 a 28/02/2026</t>
  </si>
  <si>
    <r>
      <t xml:space="preserve">R$ 179.179,39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R$ 180.604,23</t>
    </r>
  </si>
  <si>
    <t>* Valor Repasssado ao CFMV referente a Cota-Parte em aberto apurado em Dezembro de 2025.</t>
  </si>
  <si>
    <t>SALDO FEVEREIRO/2026</t>
  </si>
  <si>
    <t>* Valor Repasssado ao CFMV referente a Cota-Parte em aberto apurado em Janeiro de 2026.</t>
  </si>
  <si>
    <t>** Valor Repasssado ao CFMV referente a Cota-Parte em aberto apurado em Fevereiro de 2026.</t>
  </si>
  <si>
    <t>*** Valor referente a cota parte apurada através de receita de anuidades em dívida ativa, recebido via depósito judicial e identificado no mês de Março/2026.</t>
  </si>
  <si>
    <r>
      <t xml:space="preserve">R$ 84.052,24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R$ 83.677,69.</t>
    </r>
  </si>
  <si>
    <t>LIQ. 509</t>
  </si>
  <si>
    <t>Período: 01/03/2026 a 31/03/2026</t>
  </si>
  <si>
    <t>COTA-PARTE REFERENTE AO MÊS DE MARÇO DE 2026</t>
  </si>
  <si>
    <t>Período: 01/04/2026 a 30/04/2026</t>
  </si>
  <si>
    <t>SALDO MARÇO/2026</t>
  </si>
  <si>
    <t>*** Valor referente a cota parte apurada através de receita de anuidades em dívida ativa, recebido via depósito judicial e identificado no mês de Abril/2026.</t>
  </si>
  <si>
    <t>COTA-PARTE REFERENTE AO MÊS DE ABRIL DE 2026</t>
  </si>
  <si>
    <t>LIQ. 682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</si>
  <si>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</si>
  <si>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R$ 44.601,33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R$ 44.207,95</t>
    </r>
  </si>
  <si>
    <t>SALDO ABRIL/2026</t>
  </si>
  <si>
    <t>COTA-PARTE REFERENTE AO MÊS DE MAIO DE 2026</t>
  </si>
  <si>
    <t>Período: 01/05/2026 a 31/05/2026</t>
  </si>
  <si>
    <r>
      <t xml:space="preserve">R$ 111.806,61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R$ 111.397,00</t>
    </r>
  </si>
  <si>
    <t>** Valor Repasssado ao CFMV referente a Cota-Parte em aberto apurado em MARÇO de 2026.</t>
  </si>
  <si>
    <t>*** Valor referente a cota parte apurada através de receita de anuidades em dívida ativa, recebido via depósito judicial e identificado no mês de MAIO/2026.</t>
  </si>
  <si>
    <t>SALDO MAIO/2026</t>
  </si>
  <si>
    <t>Período: 01/06/2026 a 30/06/2026</t>
  </si>
  <si>
    <t>*** Valor referente a cota parte apurada através de receita de anuidades em dívida ativa, recebido via depósito judicial e identificado no mês de JUNHO/2026.</t>
  </si>
  <si>
    <r>
      <t xml:space="preserve">R$118.386,05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R$ 115.662,15</t>
    </r>
  </si>
  <si>
    <t>** Valor Repasssado ao CFMV referente a Cota-Parte em aberto apurado em ABRIL de 2026.</t>
  </si>
  <si>
    <t>COTA-PARTE REFERENTE AO MÊS DE JUNHO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</si>
</sst>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"/>
    <numFmt numFmtId="165" formatCode="#,##0.00;[Red]#,##0.00"/>
    <numFmt numFmtId="166" formatCode="_(* #,##0.00_);_(* \(#,##0.00\);_(* &quot;-&quot;??_);_(@_)"/>
    <numFmt numFmtId="167" formatCode="#,##0.00;\(#,##0.00\)"/>
    <numFmt numFmtId="168" formatCode="0.00_ ;[Red]\-0.00\ "/>
  </numFmts>
  <fonts count="15" x14ac:knownFonts="1">
    <font>
      <sz val="11"/>
      <color theme="1"/>
      <name val="Calibri"/>
      <scheme val="minor"/>
    </font>
    <font>
      <sz val="18"/>
      <color theme="1"/>
      <name val="Tahoma"/>
      <family val="2"/>
    </font>
    <font>
      <sz val="11"/>
      <color theme="1"/>
      <name val="Calibri"/>
      <family val="2"/>
    </font>
    <font>
      <sz val="12"/>
      <color theme="1"/>
      <name val="Tahoma"/>
      <family val="2"/>
    </font>
    <font>
      <b/>
      <sz val="8"/>
      <color theme="1"/>
      <name val="Tahoma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"/>
      <name val="Calibri"/>
      <family val="2"/>
    </font>
    <font>
      <sz val="10"/>
      <name val="Calibri"/>
      <family val="2"/>
    </font>
    <font>
      <b/>
      <i/>
      <sz val="11"/>
      <color theme="1"/>
      <name val="Calibri"/>
      <family val="2"/>
    </font>
    <font>
      <b/>
      <i/>
      <u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rgb="FFF2F2F2"/>
        <bgColor rgb="FFF2F2F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164" fontId="5" fillId="0" borderId="5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" fontId="5" fillId="0" borderId="11" xfId="0" applyNumberFormat="1" applyFont="1" applyBorder="1"/>
    <xf numFmtId="164" fontId="2" fillId="0" borderId="10" xfId="0" applyNumberFormat="1" applyFont="1" applyBorder="1" applyAlignment="1">
      <alignment horizontal="left"/>
    </xf>
    <xf numFmtId="165" fontId="5" fillId="0" borderId="13" xfId="0" applyNumberFormat="1" applyFont="1" applyBorder="1"/>
    <xf numFmtId="0" fontId="2" fillId="0" borderId="0" xfId="0" applyFont="1"/>
    <xf numFmtId="4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5" fillId="0" borderId="18" xfId="0" applyNumberFormat="1" applyFont="1" applyBorder="1"/>
    <xf numFmtId="0" fontId="2" fillId="0" borderId="19" xfId="0" applyFont="1" applyBorder="1"/>
    <xf numFmtId="165" fontId="5" fillId="0" borderId="19" xfId="0" applyNumberFormat="1" applyFont="1" applyBorder="1"/>
    <xf numFmtId="0" fontId="4" fillId="2" borderId="1" xfId="0" applyFont="1" applyFill="1" applyBorder="1" applyAlignment="1">
      <alignment horizontal="right"/>
    </xf>
    <xf numFmtId="14" fontId="2" fillId="0" borderId="12" xfId="0" applyNumberFormat="1" applyFont="1" applyBorder="1"/>
    <xf numFmtId="165" fontId="2" fillId="0" borderId="13" xfId="0" applyNumberFormat="1" applyFont="1" applyBorder="1"/>
    <xf numFmtId="165" fontId="2" fillId="0" borderId="14" xfId="0" applyNumberFormat="1" applyFont="1" applyBorder="1"/>
    <xf numFmtId="4" fontId="2" fillId="0" borderId="13" xfId="0" applyNumberFormat="1" applyFont="1" applyBorder="1"/>
    <xf numFmtId="0" fontId="2" fillId="2" borderId="1" xfId="0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167" fontId="2" fillId="0" borderId="13" xfId="0" applyNumberFormat="1" applyFont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28" xfId="0" applyFont="1" applyFill="1" applyBorder="1"/>
    <xf numFmtId="0" fontId="2" fillId="2" borderId="28" xfId="0" applyFont="1" applyFill="1" applyBorder="1" applyAlignment="1">
      <alignment horizontal="right"/>
    </xf>
    <xf numFmtId="168" fontId="2" fillId="0" borderId="13" xfId="0" applyNumberFormat="1" applyFont="1" applyBorder="1"/>
    <xf numFmtId="168" fontId="2" fillId="0" borderId="13" xfId="0" applyNumberFormat="1" applyFont="1" applyBorder="1" applyAlignment="1">
      <alignment horizontal="right"/>
    </xf>
    <xf numFmtId="0" fontId="4" fillId="2" borderId="28" xfId="0" applyFont="1" applyFill="1" applyBorder="1" applyAlignment="1">
      <alignment horizontal="right"/>
    </xf>
    <xf numFmtId="0" fontId="11" fillId="2" borderId="1" xfId="0" applyFont="1" applyFill="1" applyBorder="1"/>
    <xf numFmtId="14" fontId="2" fillId="0" borderId="18" xfId="0" applyNumberFormat="1" applyFont="1" applyBorder="1"/>
    <xf numFmtId="165" fontId="2" fillId="0" borderId="19" xfId="0" applyNumberFormat="1" applyFont="1" applyBorder="1"/>
    <xf numFmtId="4" fontId="2" fillId="2" borderId="28" xfId="0" applyNumberFormat="1" applyFont="1" applyFill="1" applyBorder="1"/>
    <xf numFmtId="4" fontId="13" fillId="0" borderId="11" xfId="0" applyNumberFormat="1" applyFont="1" applyBorder="1"/>
    <xf numFmtId="14" fontId="13" fillId="0" borderId="12" xfId="0" applyNumberFormat="1" applyFont="1" applyBorder="1"/>
    <xf numFmtId="164" fontId="13" fillId="0" borderId="10" xfId="0" applyNumberFormat="1" applyFont="1" applyBorder="1" applyAlignment="1">
      <alignment horizontal="left"/>
    </xf>
    <xf numFmtId="165" fontId="13" fillId="0" borderId="19" xfId="0" applyNumberFormat="1" applyFont="1" applyBorder="1"/>
    <xf numFmtId="165" fontId="13" fillId="0" borderId="13" xfId="0" applyNumberFormat="1" applyFont="1" applyBorder="1"/>
    <xf numFmtId="0" fontId="2" fillId="2" borderId="35" xfId="0" applyFont="1" applyFill="1" applyBorder="1"/>
    <xf numFmtId="0" fontId="2" fillId="2" borderId="29" xfId="0" applyFont="1" applyFill="1" applyBorder="1"/>
    <xf numFmtId="0" fontId="2" fillId="2" borderId="36" xfId="0" applyFont="1" applyFill="1" applyBorder="1"/>
    <xf numFmtId="14" fontId="14" fillId="0" borderId="12" xfId="0" applyNumberFormat="1" applyFont="1" applyBorder="1"/>
    <xf numFmtId="164" fontId="14" fillId="0" borderId="10" xfId="0" applyNumberFormat="1" applyFont="1" applyBorder="1" applyAlignment="1">
      <alignment horizontal="left"/>
    </xf>
    <xf numFmtId="165" fontId="14" fillId="0" borderId="13" xfId="0" applyNumberFormat="1" applyFont="1" applyBorder="1"/>
    <xf numFmtId="4" fontId="14" fillId="0" borderId="11" xfId="0" applyNumberFormat="1" applyFont="1" applyBorder="1"/>
    <xf numFmtId="0" fontId="5" fillId="2" borderId="28" xfId="0" applyFont="1" applyFill="1" applyBorder="1" applyAlignment="1">
      <alignment horizontal="right"/>
    </xf>
    <xf numFmtId="0" fontId="13" fillId="2" borderId="28" xfId="0" applyFont="1" applyFill="1" applyBorder="1" applyAlignment="1">
      <alignment horizontal="right"/>
    </xf>
    <xf numFmtId="165" fontId="14" fillId="0" borderId="19" xfId="0" applyNumberFormat="1" applyFont="1" applyBorder="1"/>
    <xf numFmtId="4" fontId="2" fillId="2" borderId="28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4" fontId="14" fillId="0" borderId="18" xfId="0" applyNumberFormat="1" applyFont="1" applyBorder="1"/>
    <xf numFmtId="165" fontId="2" fillId="2" borderId="28" xfId="0" applyNumberFormat="1" applyFont="1" applyFill="1" applyBorder="1"/>
    <xf numFmtId="0" fontId="5" fillId="4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2" fillId="0" borderId="9" xfId="0" applyFont="1" applyBorder="1" applyAlignment="1">
      <alignment horizontal="left"/>
    </xf>
    <xf numFmtId="0" fontId="6" fillId="0" borderId="10" xfId="0" applyFont="1" applyBorder="1"/>
    <xf numFmtId="0" fontId="10" fillId="2" borderId="30" xfId="0" applyFont="1" applyFill="1" applyBorder="1" applyAlignment="1">
      <alignment horizontal="center"/>
    </xf>
    <xf numFmtId="0" fontId="12" fillId="0" borderId="31" xfId="0" applyFont="1" applyBorder="1"/>
    <xf numFmtId="0" fontId="12" fillId="0" borderId="32" xfId="0" applyFont="1" applyBorder="1"/>
    <xf numFmtId="0" fontId="8" fillId="2" borderId="33" xfId="0" applyFont="1" applyFill="1" applyBorder="1" applyAlignment="1">
      <alignment horizontal="center"/>
    </xf>
    <xf numFmtId="0" fontId="6" fillId="0" borderId="28" xfId="0" applyFont="1" applyBorder="1"/>
    <xf numFmtId="0" fontId="6" fillId="0" borderId="34" xfId="0" applyFont="1" applyBorder="1"/>
    <xf numFmtId="0" fontId="8" fillId="2" borderId="33" xfId="0" applyFont="1" applyFill="1" applyBorder="1" applyAlignment="1">
      <alignment horizontal="center" wrapText="1"/>
    </xf>
    <xf numFmtId="0" fontId="8" fillId="2" borderId="28" xfId="0" applyFont="1" applyFill="1" applyBorder="1" applyAlignment="1">
      <alignment horizontal="center" wrapText="1"/>
    </xf>
    <xf numFmtId="0" fontId="8" fillId="2" borderId="34" xfId="0" applyFont="1" applyFill="1" applyBorder="1" applyAlignment="1">
      <alignment horizontal="center" wrapText="1"/>
    </xf>
    <xf numFmtId="0" fontId="8" fillId="2" borderId="22" xfId="0" applyFont="1" applyFill="1" applyBorder="1" applyAlignment="1">
      <alignment horizontal="center"/>
    </xf>
    <xf numFmtId="0" fontId="6" fillId="0" borderId="23" xfId="0" applyFont="1" applyBorder="1"/>
    <xf numFmtId="0" fontId="6" fillId="0" borderId="24" xfId="0" applyFont="1" applyBorder="1"/>
    <xf numFmtId="0" fontId="8" fillId="2" borderId="25" xfId="0" applyFont="1" applyFill="1" applyBorder="1" applyAlignment="1">
      <alignment horizontal="center"/>
    </xf>
    <xf numFmtId="0" fontId="6" fillId="0" borderId="26" xfId="0" applyFont="1" applyBorder="1"/>
    <xf numFmtId="0" fontId="6" fillId="0" borderId="27" xfId="0" applyFont="1" applyBorder="1"/>
    <xf numFmtId="0" fontId="7" fillId="2" borderId="20" xfId="0" applyFont="1" applyFill="1" applyBorder="1" applyAlignment="1">
      <alignment horizontal="center"/>
    </xf>
    <xf numFmtId="0" fontId="6" fillId="0" borderId="15" xfId="0" applyFont="1" applyBorder="1"/>
    <xf numFmtId="0" fontId="6" fillId="0" borderId="21" xfId="0" applyFont="1" applyBorder="1"/>
    <xf numFmtId="0" fontId="8" fillId="2" borderId="22" xfId="0" applyFont="1" applyFill="1" applyBorder="1" applyAlignment="1">
      <alignment horizontal="center" wrapText="1"/>
    </xf>
    <xf numFmtId="0" fontId="6" fillId="0" borderId="23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6" fillId="0" borderId="28" xfId="0" applyFont="1" applyBorder="1" applyAlignment="1">
      <alignment wrapText="1"/>
    </xf>
    <xf numFmtId="0" fontId="10" fillId="2" borderId="20" xfId="0" applyFont="1" applyFill="1" applyBorder="1" applyAlignment="1">
      <alignment horizontal="center"/>
    </xf>
    <xf numFmtId="0" fontId="12" fillId="0" borderId="15" xfId="0" applyFont="1" applyBorder="1"/>
    <xf numFmtId="0" fontId="12" fillId="0" borderId="21" xfId="0" applyFont="1" applyBorder="1"/>
    <xf numFmtId="0" fontId="8" fillId="2" borderId="24" xfId="0" applyFont="1" applyFill="1" applyBorder="1" applyAlignment="1">
      <alignment horizontal="center" wrapText="1"/>
    </xf>
    <xf numFmtId="0" fontId="8" fillId="2" borderId="28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9"/>
  <sheetViews>
    <sheetView topLeftCell="A7" zoomScaleNormal="10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14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15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28</v>
      </c>
      <c r="C9" s="63"/>
      <c r="D9" s="63"/>
      <c r="E9" s="63"/>
      <c r="F9" s="63"/>
      <c r="G9" s="63"/>
      <c r="H9" s="12">
        <v>7327.01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45294</v>
      </c>
      <c r="C10" s="13" t="s">
        <v>8</v>
      </c>
      <c r="D10" s="23">
        <v>31414.400000000001</v>
      </c>
      <c r="E10" s="23">
        <f t="shared" ref="E10:E38" si="0">D10-F10</f>
        <v>23561.050000000003</v>
      </c>
      <c r="F10" s="23">
        <v>7853.35</v>
      </c>
      <c r="G10" s="23">
        <f t="shared" ref="G10:G30" si="1">F10</f>
        <v>7853.35</v>
      </c>
      <c r="H10" s="12">
        <f t="shared" ref="H10:H37" si="2">H9+F10-G10</f>
        <v>7327.01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0" si="3">B10+(MOD(B10,7)=6)*2+1</f>
        <v>45295</v>
      </c>
      <c r="C11" s="13" t="s">
        <v>8</v>
      </c>
      <c r="D11" s="23">
        <v>12613.92</v>
      </c>
      <c r="E11" s="23">
        <f t="shared" si="0"/>
        <v>9460.4700000000012</v>
      </c>
      <c r="F11" s="24">
        <v>3153.45</v>
      </c>
      <c r="G11" s="23">
        <f t="shared" si="1"/>
        <v>3153.45</v>
      </c>
      <c r="H11" s="12">
        <f t="shared" si="2"/>
        <v>7327.0099999999993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3"/>
        <v>45296</v>
      </c>
      <c r="C12" s="13" t="s">
        <v>8</v>
      </c>
      <c r="D12" s="23">
        <v>19088.830000000002</v>
      </c>
      <c r="E12" s="23">
        <f t="shared" si="0"/>
        <v>14316.7</v>
      </c>
      <c r="F12" s="24">
        <v>4772.13</v>
      </c>
      <c r="G12" s="23">
        <f t="shared" si="1"/>
        <v>4772.13</v>
      </c>
      <c r="H12" s="12">
        <f t="shared" si="2"/>
        <v>7327.0099999999993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3"/>
        <v>45299</v>
      </c>
      <c r="C13" s="13" t="s">
        <v>8</v>
      </c>
      <c r="D13" s="23">
        <v>24692.13</v>
      </c>
      <c r="E13" s="23">
        <f t="shared" si="0"/>
        <v>18519.170000000002</v>
      </c>
      <c r="F13" s="24">
        <v>6172.96</v>
      </c>
      <c r="G13" s="23">
        <f t="shared" si="1"/>
        <v>6172.96</v>
      </c>
      <c r="H13" s="12">
        <f t="shared" si="2"/>
        <v>7327.0099999999993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3"/>
        <v>45300</v>
      </c>
      <c r="C14" s="13" t="s">
        <v>8</v>
      </c>
      <c r="D14" s="23">
        <v>48886.01</v>
      </c>
      <c r="E14" s="23">
        <f t="shared" si="0"/>
        <v>36664.67</v>
      </c>
      <c r="F14" s="24">
        <v>12221.34</v>
      </c>
      <c r="G14" s="23">
        <f t="shared" si="1"/>
        <v>12221.34</v>
      </c>
      <c r="H14" s="12">
        <f t="shared" si="2"/>
        <v>7327.0099999999984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3"/>
        <v>45301</v>
      </c>
      <c r="C15" s="13" t="s">
        <v>8</v>
      </c>
      <c r="D15" s="23">
        <v>32361.19</v>
      </c>
      <c r="E15" s="23">
        <f t="shared" si="0"/>
        <v>24270.98</v>
      </c>
      <c r="F15" s="25">
        <v>8090.21</v>
      </c>
      <c r="G15" s="23">
        <f t="shared" si="1"/>
        <v>8090.21</v>
      </c>
      <c r="H15" s="12">
        <f t="shared" si="2"/>
        <v>7327.0099999999975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3"/>
        <v>45302</v>
      </c>
      <c r="C16" s="13" t="s">
        <v>8</v>
      </c>
      <c r="D16" s="23">
        <v>43235.74</v>
      </c>
      <c r="E16" s="23">
        <f t="shared" si="0"/>
        <v>32426.92</v>
      </c>
      <c r="F16" s="25">
        <v>10808.82</v>
      </c>
      <c r="G16" s="23">
        <f t="shared" si="1"/>
        <v>10808.82</v>
      </c>
      <c r="H16" s="12">
        <f t="shared" si="2"/>
        <v>7327.0099999999984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3"/>
        <v>45303</v>
      </c>
      <c r="C17" s="13" t="s">
        <v>8</v>
      </c>
      <c r="D17" s="23">
        <v>22798.2</v>
      </c>
      <c r="E17" s="23">
        <f t="shared" si="0"/>
        <v>17098.73</v>
      </c>
      <c r="F17" s="25">
        <v>5699.47</v>
      </c>
      <c r="G17" s="23">
        <f t="shared" si="1"/>
        <v>5699.47</v>
      </c>
      <c r="H17" s="12">
        <f t="shared" si="2"/>
        <v>7327.0099999999993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3"/>
        <v>45306</v>
      </c>
      <c r="C18" s="13" t="s">
        <v>8</v>
      </c>
      <c r="D18" s="23">
        <v>31371.07</v>
      </c>
      <c r="E18" s="23">
        <f t="shared" si="0"/>
        <v>23528.38</v>
      </c>
      <c r="F18" s="25">
        <v>7842.69</v>
      </c>
      <c r="G18" s="23">
        <f t="shared" si="1"/>
        <v>7842.69</v>
      </c>
      <c r="H18" s="12">
        <f t="shared" si="2"/>
        <v>7327.0099999999993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3"/>
        <v>45307</v>
      </c>
      <c r="C19" s="13" t="s">
        <v>8</v>
      </c>
      <c r="D19" s="23">
        <v>49198.89</v>
      </c>
      <c r="E19" s="23">
        <f t="shared" si="0"/>
        <v>36899.31</v>
      </c>
      <c r="F19" s="25">
        <v>12299.58</v>
      </c>
      <c r="G19" s="23">
        <f t="shared" si="1"/>
        <v>12299.58</v>
      </c>
      <c r="H19" s="12">
        <f t="shared" si="2"/>
        <v>7327.01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3"/>
        <v>45308</v>
      </c>
      <c r="C20" s="13" t="s">
        <v>8</v>
      </c>
      <c r="D20" s="23">
        <v>24263.4</v>
      </c>
      <c r="E20" s="23">
        <f t="shared" si="0"/>
        <v>18197.620000000003</v>
      </c>
      <c r="F20" s="25">
        <v>6065.78</v>
      </c>
      <c r="G20" s="23">
        <f t="shared" si="1"/>
        <v>6065.78</v>
      </c>
      <c r="H20" s="12">
        <f t="shared" si="2"/>
        <v>7327.0100000000011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3"/>
        <v>45309</v>
      </c>
      <c r="C21" s="13" t="s">
        <v>8</v>
      </c>
      <c r="D21" s="23">
        <v>19537.77</v>
      </c>
      <c r="E21" s="23">
        <f t="shared" si="0"/>
        <v>14653.37</v>
      </c>
      <c r="F21" s="25">
        <v>4884.3999999999996</v>
      </c>
      <c r="G21" s="23">
        <f t="shared" si="1"/>
        <v>4884.3999999999996</v>
      </c>
      <c r="H21" s="12">
        <f t="shared" si="2"/>
        <v>7327.01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3"/>
        <v>45310</v>
      </c>
      <c r="C22" s="13" t="s">
        <v>8</v>
      </c>
      <c r="D22" s="23">
        <v>25814.11</v>
      </c>
      <c r="E22" s="23">
        <f t="shared" si="0"/>
        <v>19360.66</v>
      </c>
      <c r="F22" s="25">
        <v>6453.45</v>
      </c>
      <c r="G22" s="23">
        <f t="shared" si="1"/>
        <v>6453.45</v>
      </c>
      <c r="H22" s="12">
        <f t="shared" si="2"/>
        <v>7327.0099999999993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3"/>
        <v>45313</v>
      </c>
      <c r="C23" s="13" t="s">
        <v>8</v>
      </c>
      <c r="D23" s="23">
        <v>15364.87</v>
      </c>
      <c r="E23" s="23">
        <f t="shared" si="0"/>
        <v>11523.7</v>
      </c>
      <c r="F23" s="25">
        <v>3841.17</v>
      </c>
      <c r="G23" s="23">
        <f t="shared" si="1"/>
        <v>3841.17</v>
      </c>
      <c r="H23" s="12">
        <f t="shared" si="2"/>
        <v>7327.01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3"/>
        <v>45314</v>
      </c>
      <c r="C24" s="13" t="s">
        <v>8</v>
      </c>
      <c r="D24" s="23">
        <v>35577.279999999999</v>
      </c>
      <c r="E24" s="23">
        <f t="shared" si="0"/>
        <v>26683.07</v>
      </c>
      <c r="F24" s="25">
        <v>8894.2099999999991</v>
      </c>
      <c r="G24" s="23">
        <f t="shared" si="1"/>
        <v>8894.2099999999991</v>
      </c>
      <c r="H24" s="12">
        <f t="shared" si="2"/>
        <v>7327.01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3"/>
        <v>45315</v>
      </c>
      <c r="C25" s="13" t="s">
        <v>8</v>
      </c>
      <c r="D25" s="23">
        <v>23146.15</v>
      </c>
      <c r="E25" s="23">
        <f t="shared" si="0"/>
        <v>17359.690000000002</v>
      </c>
      <c r="F25" s="25">
        <v>5786.46</v>
      </c>
      <c r="G25" s="23">
        <f t="shared" si="1"/>
        <v>5786.46</v>
      </c>
      <c r="H25" s="12">
        <f t="shared" si="2"/>
        <v>7327.0100000000011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3"/>
        <v>45316</v>
      </c>
      <c r="C26" s="13" t="s">
        <v>8</v>
      </c>
      <c r="D26" s="23">
        <v>24576.28</v>
      </c>
      <c r="E26" s="23">
        <f t="shared" si="0"/>
        <v>18432.309999999998</v>
      </c>
      <c r="F26" s="25">
        <v>6143.97</v>
      </c>
      <c r="G26" s="23">
        <f t="shared" si="1"/>
        <v>6143.97</v>
      </c>
      <c r="H26" s="12">
        <f t="shared" si="2"/>
        <v>7327.0100000000011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3"/>
        <v>45317</v>
      </c>
      <c r="C27" s="13" t="s">
        <v>8</v>
      </c>
      <c r="D27" s="23">
        <v>36882.080000000002</v>
      </c>
      <c r="E27" s="23">
        <f t="shared" si="0"/>
        <v>27661.700000000004</v>
      </c>
      <c r="F27" s="25">
        <v>9220.3799999999992</v>
      </c>
      <c r="G27" s="23">
        <f t="shared" si="1"/>
        <v>9220.3799999999992</v>
      </c>
      <c r="H27" s="12">
        <f t="shared" si="2"/>
        <v>7327.01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3"/>
        <v>45320</v>
      </c>
      <c r="C28" s="13" t="s">
        <v>8</v>
      </c>
      <c r="D28" s="23">
        <v>22213.61</v>
      </c>
      <c r="E28" s="23">
        <f t="shared" si="0"/>
        <v>16660.3</v>
      </c>
      <c r="F28" s="25">
        <v>5553.31</v>
      </c>
      <c r="G28" s="23">
        <f t="shared" si="1"/>
        <v>5553.31</v>
      </c>
      <c r="H28" s="12">
        <f t="shared" si="2"/>
        <v>7327.0099999999993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2">
        <f t="shared" si="3"/>
        <v>45321</v>
      </c>
      <c r="C29" s="13" t="s">
        <v>8</v>
      </c>
      <c r="D29" s="23">
        <v>109703.54</v>
      </c>
      <c r="E29" s="23">
        <f t="shared" si="0"/>
        <v>82277.989999999991</v>
      </c>
      <c r="F29" s="25">
        <v>27425.55</v>
      </c>
      <c r="G29" s="23">
        <f t="shared" si="1"/>
        <v>27425.55</v>
      </c>
      <c r="H29" s="12">
        <f t="shared" si="2"/>
        <v>7327.0099999999984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2">
        <f t="shared" si="3"/>
        <v>45322</v>
      </c>
      <c r="C30" s="13" t="s">
        <v>8</v>
      </c>
      <c r="D30" s="23">
        <v>165300.51</v>
      </c>
      <c r="E30" s="23">
        <f t="shared" si="0"/>
        <v>123976.03</v>
      </c>
      <c r="F30" s="25">
        <v>41324.480000000003</v>
      </c>
      <c r="G30" s="23">
        <f t="shared" si="1"/>
        <v>41324.480000000003</v>
      </c>
      <c r="H30" s="12">
        <f t="shared" si="2"/>
        <v>7327.010000000002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6"/>
      <c r="B31" s="22">
        <v>45322</v>
      </c>
      <c r="C31" s="27" t="s">
        <v>11</v>
      </c>
      <c r="D31" s="23">
        <v>533.84</v>
      </c>
      <c r="E31" s="23">
        <f t="shared" si="0"/>
        <v>400.38</v>
      </c>
      <c r="F31" s="25">
        <v>133.46</v>
      </c>
      <c r="G31" s="23">
        <v>0</v>
      </c>
      <c r="H31" s="12">
        <f t="shared" si="2"/>
        <v>7460.4700000000021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6"/>
      <c r="B32" s="22">
        <v>45322</v>
      </c>
      <c r="C32" s="27" t="s">
        <v>11</v>
      </c>
      <c r="D32" s="28">
        <v>3354.13</v>
      </c>
      <c r="E32" s="28">
        <f t="shared" si="0"/>
        <v>2515.6000000000004</v>
      </c>
      <c r="F32" s="25">
        <v>838.53</v>
      </c>
      <c r="G32" s="23">
        <v>0</v>
      </c>
      <c r="H32" s="12">
        <f>H31+F32-G32</f>
        <v>8299.0000000000018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hidden="1" customHeight="1" x14ac:dyDescent="0.25">
      <c r="A33" s="2"/>
      <c r="B33" s="22">
        <v>45291</v>
      </c>
      <c r="C33" s="27" t="s">
        <v>11</v>
      </c>
      <c r="D33" s="23"/>
      <c r="E33" s="23">
        <f t="shared" si="0"/>
        <v>0</v>
      </c>
      <c r="F33" s="25"/>
      <c r="G33" s="23">
        <v>0</v>
      </c>
      <c r="H33" s="12">
        <f t="shared" si="2"/>
        <v>8299.0000000000018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hidden="1" customHeight="1" x14ac:dyDescent="0.25">
      <c r="A34" s="2"/>
      <c r="B34" s="22">
        <v>45291</v>
      </c>
      <c r="C34" s="27" t="s">
        <v>11</v>
      </c>
      <c r="D34" s="23"/>
      <c r="E34" s="23">
        <f t="shared" si="0"/>
        <v>0</v>
      </c>
      <c r="F34" s="25"/>
      <c r="G34" s="23">
        <v>0</v>
      </c>
      <c r="H34" s="12">
        <f t="shared" si="2"/>
        <v>8299.0000000000018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hidden="1" customHeight="1" x14ac:dyDescent="0.25">
      <c r="A35" s="2"/>
      <c r="B35" s="22">
        <v>45291</v>
      </c>
      <c r="C35" s="27" t="s">
        <v>11</v>
      </c>
      <c r="D35" s="23"/>
      <c r="E35" s="23">
        <f t="shared" si="0"/>
        <v>0</v>
      </c>
      <c r="F35" s="25"/>
      <c r="G35" s="23">
        <v>0</v>
      </c>
      <c r="H35" s="12">
        <f t="shared" si="2"/>
        <v>8299.0000000000018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hidden="1" customHeight="1" x14ac:dyDescent="0.25">
      <c r="A36" s="2"/>
      <c r="B36" s="22">
        <v>45291</v>
      </c>
      <c r="C36" s="27" t="s">
        <v>11</v>
      </c>
      <c r="D36" s="23"/>
      <c r="E36" s="23">
        <f t="shared" si="0"/>
        <v>0</v>
      </c>
      <c r="F36" s="25"/>
      <c r="G36" s="23">
        <v>0</v>
      </c>
      <c r="H36" s="12">
        <f t="shared" si="2"/>
        <v>8299.0000000000018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hidden="1" customHeight="1" x14ac:dyDescent="0.25">
      <c r="A37" s="2"/>
      <c r="B37" s="22">
        <v>45291</v>
      </c>
      <c r="C37" s="27" t="s">
        <v>11</v>
      </c>
      <c r="D37" s="23"/>
      <c r="E37" s="23">
        <f t="shared" si="0"/>
        <v>0</v>
      </c>
      <c r="F37" s="25"/>
      <c r="G37" s="23">
        <v>0</v>
      </c>
      <c r="H37" s="12">
        <f t="shared" si="2"/>
        <v>8299.0000000000018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hidden="1" customHeight="1" x14ac:dyDescent="0.25">
      <c r="A38" s="2"/>
      <c r="B38" s="22">
        <f>B30+(MOD(B30,7)=6)*2+1</f>
        <v>45323</v>
      </c>
      <c r="C38" s="13" t="s">
        <v>8</v>
      </c>
      <c r="D38" s="23"/>
      <c r="E38" s="23">
        <f t="shared" si="0"/>
        <v>0</v>
      </c>
      <c r="F38" s="25">
        <f>D38*25%</f>
        <v>0</v>
      </c>
      <c r="G38" s="23">
        <f>F38</f>
        <v>0</v>
      </c>
      <c r="H38" s="12">
        <f>H37+F38-G38</f>
        <v>8299.0000000000018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18" t="s">
        <v>9</v>
      </c>
      <c r="C39" s="19"/>
      <c r="D39" s="20">
        <f>SUM(D10:D38)</f>
        <v>821927.95000000019</v>
      </c>
      <c r="E39" s="20">
        <f>SUM(E10:E38)</f>
        <v>616448.79999999993</v>
      </c>
      <c r="F39" s="20">
        <f>SUM(F10:F38)</f>
        <v>205479.15</v>
      </c>
      <c r="G39" s="23">
        <f>SUM(G10:G37)</f>
        <v>204507.16</v>
      </c>
      <c r="H39" s="12">
        <f>H38</f>
        <v>8299.0000000000018</v>
      </c>
      <c r="I39" s="1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9"/>
      <c r="B40" s="79" t="s">
        <v>10</v>
      </c>
      <c r="C40" s="80"/>
      <c r="D40" s="80"/>
      <c r="E40" s="80"/>
      <c r="F40" s="80"/>
      <c r="G40" s="80"/>
      <c r="H40" s="81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9"/>
      <c r="B41" s="73" t="s">
        <v>16</v>
      </c>
      <c r="C41" s="74"/>
      <c r="D41" s="74"/>
      <c r="E41" s="74"/>
      <c r="F41" s="74"/>
      <c r="G41" s="74"/>
      <c r="H41" s="75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9"/>
      <c r="B42" s="82"/>
      <c r="C42" s="74"/>
      <c r="D42" s="74"/>
      <c r="E42" s="74"/>
      <c r="F42" s="74"/>
      <c r="G42" s="74"/>
      <c r="H42" s="75"/>
      <c r="I42" s="30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9"/>
      <c r="B43" s="82"/>
      <c r="C43" s="74"/>
      <c r="D43" s="74"/>
      <c r="E43" s="74"/>
      <c r="F43" s="74"/>
      <c r="G43" s="74"/>
      <c r="H43" s="75"/>
      <c r="I43" s="30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9"/>
      <c r="B44" s="73"/>
      <c r="C44" s="74"/>
      <c r="D44" s="74"/>
      <c r="E44" s="74"/>
      <c r="F44" s="74"/>
      <c r="G44" s="74"/>
      <c r="H44" s="75"/>
      <c r="I44" s="30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thickBot="1" x14ac:dyDescent="0.3">
      <c r="A45" s="29"/>
      <c r="B45" s="76"/>
      <c r="C45" s="77"/>
      <c r="D45" s="77"/>
      <c r="E45" s="77"/>
      <c r="F45" s="77"/>
      <c r="G45" s="77"/>
      <c r="H45" s="78"/>
      <c r="I45" s="30"/>
      <c r="J45" s="2"/>
      <c r="K45" s="1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31"/>
      <c r="C46" s="31"/>
      <c r="D46" s="31"/>
      <c r="E46" s="31"/>
      <c r="F46" s="31"/>
      <c r="G46" s="31"/>
      <c r="H46" s="3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mergeCells count="8">
    <mergeCell ref="B44:H44"/>
    <mergeCell ref="B45:H45"/>
    <mergeCell ref="B7:H7"/>
    <mergeCell ref="B9:G9"/>
    <mergeCell ref="B40:H40"/>
    <mergeCell ref="B41:H41"/>
    <mergeCell ref="B42:H42"/>
    <mergeCell ref="B43:H43"/>
  </mergeCells>
  <pageMargins left="0.511811024" right="0.511811024" top="0.78740157499999996" bottom="0.78740157499999996" header="0.31496062000000002" footer="0.31496062000000002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6"/>
  <sheetViews>
    <sheetView topLeftCell="A16" zoomScale="124" zoomScaleNormal="124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72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71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73</v>
      </c>
      <c r="C9" s="63"/>
      <c r="D9" s="63"/>
      <c r="E9" s="63"/>
      <c r="F9" s="63"/>
      <c r="G9" s="63"/>
      <c r="H9" s="12">
        <v>1546.59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45566</v>
      </c>
      <c r="C10" s="13" t="s">
        <v>8</v>
      </c>
      <c r="D10" s="23">
        <v>55049.38</v>
      </c>
      <c r="E10" s="23">
        <f>D10-F10</f>
        <v>41287.369999999995</v>
      </c>
      <c r="F10" s="23">
        <v>13762.01</v>
      </c>
      <c r="G10" s="23">
        <f t="shared" ref="G10:G35" si="0">F10</f>
        <v>13762.01</v>
      </c>
      <c r="H10" s="12">
        <f t="shared" ref="H10:H28" si="1">H9+F10-G10</f>
        <v>1546.5900000000001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2">B10+(MOD(B10,7)=6)*2+1</f>
        <v>45567</v>
      </c>
      <c r="C11" s="13" t="s">
        <v>8</v>
      </c>
      <c r="D11" s="23">
        <v>3280.26</v>
      </c>
      <c r="E11" s="23">
        <f t="shared" ref="E11:E35" si="3">D11-F11</f>
        <v>2460.2000000000003</v>
      </c>
      <c r="F11" s="24">
        <v>820.06</v>
      </c>
      <c r="G11" s="23">
        <f t="shared" si="0"/>
        <v>820.06</v>
      </c>
      <c r="H11" s="12">
        <f t="shared" si="1"/>
        <v>1546.5900000000001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2"/>
        <v>45568</v>
      </c>
      <c r="C12" s="13" t="s">
        <v>8</v>
      </c>
      <c r="D12" s="23">
        <v>3542.83</v>
      </c>
      <c r="E12" s="23">
        <f t="shared" si="3"/>
        <v>2657.16</v>
      </c>
      <c r="F12" s="24">
        <v>885.67</v>
      </c>
      <c r="G12" s="23">
        <f t="shared" si="0"/>
        <v>885.67</v>
      </c>
      <c r="H12" s="12">
        <f t="shared" si="1"/>
        <v>1546.5900000000001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2"/>
        <v>45569</v>
      </c>
      <c r="C13" s="13" t="s">
        <v>8</v>
      </c>
      <c r="D13" s="23">
        <v>9175.2099999999991</v>
      </c>
      <c r="E13" s="23">
        <f t="shared" si="3"/>
        <v>6881.4699999999993</v>
      </c>
      <c r="F13" s="24">
        <v>2293.7399999999998</v>
      </c>
      <c r="G13" s="23">
        <f t="shared" si="0"/>
        <v>2293.7399999999998</v>
      </c>
      <c r="H13" s="12">
        <f t="shared" si="1"/>
        <v>1546.5900000000001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2"/>
        <v>45572</v>
      </c>
      <c r="C14" s="13" t="s">
        <v>8</v>
      </c>
      <c r="D14" s="23">
        <v>5214.2299999999996</v>
      </c>
      <c r="E14" s="23">
        <f t="shared" si="3"/>
        <v>3910.74</v>
      </c>
      <c r="F14" s="24">
        <v>1303.49</v>
      </c>
      <c r="G14" s="23">
        <f t="shared" si="0"/>
        <v>1303.49</v>
      </c>
      <c r="H14" s="12">
        <f t="shared" si="1"/>
        <v>1546.59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2"/>
        <v>45573</v>
      </c>
      <c r="C15" s="13" t="s">
        <v>8</v>
      </c>
      <c r="D15" s="23">
        <v>6843.21</v>
      </c>
      <c r="E15" s="23">
        <f t="shared" si="3"/>
        <v>5132.51</v>
      </c>
      <c r="F15" s="25">
        <v>1710.7</v>
      </c>
      <c r="G15" s="23">
        <f t="shared" si="0"/>
        <v>1710.7</v>
      </c>
      <c r="H15" s="12">
        <f t="shared" si="1"/>
        <v>1546.59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2"/>
        <v>45574</v>
      </c>
      <c r="C16" s="13" t="s">
        <v>8</v>
      </c>
      <c r="D16" s="23">
        <v>5168.33</v>
      </c>
      <c r="E16" s="23">
        <f t="shared" si="3"/>
        <v>3876.3</v>
      </c>
      <c r="F16" s="25">
        <v>1292.03</v>
      </c>
      <c r="G16" s="23">
        <f t="shared" si="0"/>
        <v>1292.03</v>
      </c>
      <c r="H16" s="12">
        <f t="shared" si="1"/>
        <v>1546.59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2"/>
        <v>45575</v>
      </c>
      <c r="C17" s="13" t="s">
        <v>8</v>
      </c>
      <c r="D17" s="23">
        <v>1558.91</v>
      </c>
      <c r="E17" s="23">
        <f t="shared" si="3"/>
        <v>1169.21</v>
      </c>
      <c r="F17" s="25">
        <v>389.7</v>
      </c>
      <c r="G17" s="23">
        <f t="shared" si="0"/>
        <v>389.7</v>
      </c>
      <c r="H17" s="12">
        <f t="shared" si="1"/>
        <v>1546.59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2"/>
        <v>45576</v>
      </c>
      <c r="C18" s="13" t="s">
        <v>8</v>
      </c>
      <c r="D18" s="23">
        <v>8908.2800000000007</v>
      </c>
      <c r="E18" s="23">
        <f t="shared" si="3"/>
        <v>6681.2800000000007</v>
      </c>
      <c r="F18" s="25">
        <v>2227</v>
      </c>
      <c r="G18" s="23">
        <f t="shared" si="0"/>
        <v>2227</v>
      </c>
      <c r="H18" s="12">
        <f t="shared" si="1"/>
        <v>1546.5900000000001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2"/>
        <v>45579</v>
      </c>
      <c r="C19" s="13" t="s">
        <v>8</v>
      </c>
      <c r="D19" s="23">
        <v>2518.13</v>
      </c>
      <c r="E19" s="23">
        <f t="shared" si="3"/>
        <v>1888.6200000000001</v>
      </c>
      <c r="F19" s="25">
        <v>629.51</v>
      </c>
      <c r="G19" s="23">
        <f t="shared" si="0"/>
        <v>629.51</v>
      </c>
      <c r="H19" s="12">
        <f t="shared" si="1"/>
        <v>1546.5900000000004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2"/>
        <v>45580</v>
      </c>
      <c r="C20" s="13" t="s">
        <v>8</v>
      </c>
      <c r="D20" s="23">
        <v>9786.52</v>
      </c>
      <c r="E20" s="23">
        <f t="shared" si="3"/>
        <v>7339.92</v>
      </c>
      <c r="F20" s="25">
        <v>2446.6</v>
      </c>
      <c r="G20" s="23">
        <f t="shared" si="0"/>
        <v>2446.6</v>
      </c>
      <c r="H20" s="12">
        <f t="shared" si="1"/>
        <v>1546.5900000000006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2"/>
        <v>45581</v>
      </c>
      <c r="C21" s="13" t="s">
        <v>8</v>
      </c>
      <c r="D21" s="23">
        <v>1266.82</v>
      </c>
      <c r="E21" s="23">
        <f t="shared" si="3"/>
        <v>950.12999999999988</v>
      </c>
      <c r="F21" s="25">
        <v>316.69</v>
      </c>
      <c r="G21" s="23">
        <f t="shared" si="0"/>
        <v>316.69</v>
      </c>
      <c r="H21" s="12">
        <f t="shared" si="1"/>
        <v>1546.5900000000006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2"/>
        <v>45582</v>
      </c>
      <c r="C22" s="13" t="s">
        <v>8</v>
      </c>
      <c r="D22" s="23">
        <v>1658.25</v>
      </c>
      <c r="E22" s="23">
        <f t="shared" si="3"/>
        <v>1243.7</v>
      </c>
      <c r="F22" s="25">
        <v>414.55</v>
      </c>
      <c r="G22" s="23">
        <f t="shared" si="0"/>
        <v>414.55</v>
      </c>
      <c r="H22" s="12">
        <f t="shared" si="1"/>
        <v>1546.5900000000006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2"/>
        <v>45583</v>
      </c>
      <c r="C23" s="13" t="s">
        <v>8</v>
      </c>
      <c r="D23" s="23">
        <v>2938.87</v>
      </c>
      <c r="E23" s="23">
        <f t="shared" si="3"/>
        <v>2204.1799999999998</v>
      </c>
      <c r="F23" s="25">
        <v>734.69</v>
      </c>
      <c r="G23" s="23">
        <f t="shared" si="0"/>
        <v>734.69</v>
      </c>
      <c r="H23" s="12">
        <f t="shared" si="1"/>
        <v>1546.5900000000006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2"/>
        <v>45586</v>
      </c>
      <c r="C24" s="13" t="s">
        <v>8</v>
      </c>
      <c r="D24" s="23">
        <v>6023.22</v>
      </c>
      <c r="E24" s="23">
        <f t="shared" si="3"/>
        <v>4517.4400000000005</v>
      </c>
      <c r="F24" s="25">
        <v>1505.78</v>
      </c>
      <c r="G24" s="23">
        <f t="shared" si="0"/>
        <v>1505.78</v>
      </c>
      <c r="H24" s="12">
        <f t="shared" si="1"/>
        <v>1546.5900000000008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2"/>
        <v>45587</v>
      </c>
      <c r="C25" s="13" t="s">
        <v>8</v>
      </c>
      <c r="D25" s="23">
        <v>4029.45</v>
      </c>
      <c r="E25" s="23">
        <f t="shared" si="3"/>
        <v>3022.12</v>
      </c>
      <c r="F25" s="25">
        <v>1007.33</v>
      </c>
      <c r="G25" s="23">
        <f t="shared" si="0"/>
        <v>1007.33</v>
      </c>
      <c r="H25" s="12">
        <f t="shared" si="1"/>
        <v>1546.5900000000011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2"/>
        <v>45588</v>
      </c>
      <c r="C26" s="13" t="s">
        <v>8</v>
      </c>
      <c r="D26" s="23">
        <v>4164.6400000000003</v>
      </c>
      <c r="E26" s="23">
        <f t="shared" si="3"/>
        <v>3123.4900000000002</v>
      </c>
      <c r="F26" s="25">
        <v>1041.1500000000001</v>
      </c>
      <c r="G26" s="23">
        <f t="shared" si="0"/>
        <v>1041.1500000000001</v>
      </c>
      <c r="H26" s="12">
        <f t="shared" si="1"/>
        <v>1546.5900000000011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2"/>
        <v>45589</v>
      </c>
      <c r="C27" s="13" t="s">
        <v>8</v>
      </c>
      <c r="D27" s="23">
        <v>5649.17</v>
      </c>
      <c r="E27" s="23">
        <f t="shared" si="3"/>
        <v>4236.8900000000003</v>
      </c>
      <c r="F27" s="25">
        <v>1412.28</v>
      </c>
      <c r="G27" s="23">
        <f t="shared" si="0"/>
        <v>1412.28</v>
      </c>
      <c r="H27" s="12">
        <f t="shared" si="1"/>
        <v>1546.5900000000008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2"/>
        <v>45590</v>
      </c>
      <c r="C28" s="13" t="s">
        <v>8</v>
      </c>
      <c r="D28" s="23">
        <v>2388.34</v>
      </c>
      <c r="E28" s="23">
        <f t="shared" si="3"/>
        <v>1791.27</v>
      </c>
      <c r="F28" s="25">
        <v>597.07000000000005</v>
      </c>
      <c r="G28" s="23">
        <f t="shared" si="0"/>
        <v>597.07000000000005</v>
      </c>
      <c r="H28" s="12">
        <f t="shared" si="1"/>
        <v>1546.5900000000006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2"/>
        <v>45593</v>
      </c>
      <c r="C29" s="13" t="s">
        <v>8</v>
      </c>
      <c r="D29" s="23">
        <v>4103.3599999999997</v>
      </c>
      <c r="E29" s="23">
        <f>D29-F29</f>
        <v>3077.54</v>
      </c>
      <c r="F29" s="25">
        <v>1025.82</v>
      </c>
      <c r="G29" s="23">
        <f>F29</f>
        <v>1025.82</v>
      </c>
      <c r="H29" s="12">
        <f t="shared" ref="H29:H35" si="4">H28+F29-G29</f>
        <v>1546.5900000000008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32"/>
      <c r="B30" s="22">
        <f t="shared" si="2"/>
        <v>45594</v>
      </c>
      <c r="C30" s="13" t="s">
        <v>8</v>
      </c>
      <c r="D30" s="23">
        <v>2617.25</v>
      </c>
      <c r="E30" s="23">
        <f t="shared" si="3"/>
        <v>1962.95</v>
      </c>
      <c r="F30" s="25">
        <v>654.29999999999995</v>
      </c>
      <c r="G30" s="23">
        <f>F30</f>
        <v>654.29999999999995</v>
      </c>
      <c r="H30" s="12">
        <f t="shared" si="4"/>
        <v>1546.5900000000008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2"/>
      <c r="B31" s="22">
        <f t="shared" si="2"/>
        <v>45595</v>
      </c>
      <c r="C31" s="13" t="s">
        <v>8</v>
      </c>
      <c r="D31" s="23">
        <v>10051.81</v>
      </c>
      <c r="E31" s="23">
        <f t="shared" si="3"/>
        <v>7538.92</v>
      </c>
      <c r="F31" s="25">
        <v>2512.89</v>
      </c>
      <c r="G31" s="23">
        <f>F31</f>
        <v>2512.89</v>
      </c>
      <c r="H31" s="12">
        <f t="shared" si="4"/>
        <v>1546.5900000000006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x14ac:dyDescent="0.25">
      <c r="A32" s="26"/>
      <c r="B32" s="22">
        <f t="shared" si="2"/>
        <v>45596</v>
      </c>
      <c r="C32" s="13" t="s">
        <v>8</v>
      </c>
      <c r="D32" s="23">
        <v>32393.19</v>
      </c>
      <c r="E32" s="23">
        <f t="shared" si="3"/>
        <v>24295.129999999997</v>
      </c>
      <c r="F32" s="25">
        <v>8098.06</v>
      </c>
      <c r="G32" s="23">
        <f>F32</f>
        <v>8098.06</v>
      </c>
      <c r="H32" s="12">
        <f t="shared" si="4"/>
        <v>1546.5900000000011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6" t="s">
        <v>12</v>
      </c>
      <c r="B33" s="22">
        <v>45580</v>
      </c>
      <c r="C33" s="27" t="s">
        <v>11</v>
      </c>
      <c r="D33" s="23">
        <v>0</v>
      </c>
      <c r="E33" s="23">
        <f t="shared" si="3"/>
        <v>0</v>
      </c>
      <c r="F33" s="25">
        <v>0</v>
      </c>
      <c r="G33" s="23">
        <v>1546.59</v>
      </c>
      <c r="H33" s="12">
        <f t="shared" si="4"/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6" t="s">
        <v>13</v>
      </c>
      <c r="B34" s="22">
        <v>45596</v>
      </c>
      <c r="C34" s="27" t="s">
        <v>11</v>
      </c>
      <c r="D34" s="23">
        <v>10903.47</v>
      </c>
      <c r="E34" s="23">
        <f>D34-F34</f>
        <v>8177.5999999999995</v>
      </c>
      <c r="F34" s="25">
        <v>2725.87</v>
      </c>
      <c r="G34" s="23">
        <v>0</v>
      </c>
      <c r="H34" s="12">
        <f t="shared" si="4"/>
        <v>2725.87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idden="1" x14ac:dyDescent="0.25">
      <c r="A35" s="2"/>
      <c r="B35" s="22"/>
      <c r="C35" s="27"/>
      <c r="D35" s="23"/>
      <c r="E35" s="23">
        <f t="shared" si="3"/>
        <v>0</v>
      </c>
      <c r="F35" s="25">
        <f>D35*25%</f>
        <v>0</v>
      </c>
      <c r="G35" s="23">
        <f t="shared" si="0"/>
        <v>0</v>
      </c>
      <c r="H35" s="12">
        <f t="shared" si="4"/>
        <v>2725.87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18" t="s">
        <v>9</v>
      </c>
      <c r="C36" s="19"/>
      <c r="D36" s="20">
        <f>SUM(D10:D35)</f>
        <v>199233.13</v>
      </c>
      <c r="E36" s="20">
        <f>SUM(E10:E35)</f>
        <v>149426.13999999998</v>
      </c>
      <c r="F36" s="20">
        <f>SUM(F10:F35)</f>
        <v>49806.99</v>
      </c>
      <c r="G36" s="14">
        <f>SUM(G10:G35)</f>
        <v>48627.709999999992</v>
      </c>
      <c r="H36" s="12">
        <f>+H35</f>
        <v>2725.87</v>
      </c>
      <c r="I36" s="1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9"/>
      <c r="B37" s="79" t="s">
        <v>10</v>
      </c>
      <c r="C37" s="80"/>
      <c r="D37" s="80"/>
      <c r="E37" s="80"/>
      <c r="F37" s="80"/>
      <c r="G37" s="80"/>
      <c r="H37" s="81"/>
      <c r="I37" s="3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9"/>
      <c r="B38" s="73" t="s">
        <v>74</v>
      </c>
      <c r="C38" s="74"/>
      <c r="D38" s="74"/>
      <c r="E38" s="74"/>
      <c r="F38" s="74"/>
      <c r="G38" s="74"/>
      <c r="H38" s="75"/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2.25" customHeight="1" x14ac:dyDescent="0.25">
      <c r="A39" s="29"/>
      <c r="B39" s="82" t="s">
        <v>75</v>
      </c>
      <c r="C39" s="68"/>
      <c r="D39" s="68"/>
      <c r="E39" s="68"/>
      <c r="F39" s="68"/>
      <c r="G39" s="68"/>
      <c r="H39" s="75"/>
      <c r="I39" s="30"/>
      <c r="J39" s="3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9.25" customHeight="1" x14ac:dyDescent="0.25">
      <c r="A40" s="29"/>
      <c r="B40" s="82" t="s">
        <v>76</v>
      </c>
      <c r="C40" s="74"/>
      <c r="D40" s="74"/>
      <c r="E40" s="74"/>
      <c r="F40" s="74"/>
      <c r="G40" s="74"/>
      <c r="H40" s="75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 hidden="1" customHeight="1" x14ac:dyDescent="0.25">
      <c r="A41" s="29"/>
      <c r="B41" s="82"/>
      <c r="C41" s="83"/>
      <c r="D41" s="83"/>
      <c r="E41" s="83"/>
      <c r="F41" s="83"/>
      <c r="G41" s="83"/>
      <c r="H41" s="84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 x14ac:dyDescent="0.3">
      <c r="A42" s="29"/>
      <c r="B42" s="76"/>
      <c r="C42" s="77"/>
      <c r="D42" s="77"/>
      <c r="E42" s="77"/>
      <c r="F42" s="77"/>
      <c r="G42" s="77"/>
      <c r="H42" s="78"/>
      <c r="I42" s="30"/>
      <c r="J42" s="2"/>
      <c r="K42" s="1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31"/>
      <c r="C43" s="31"/>
      <c r="D43" s="31"/>
      <c r="E43" s="31"/>
      <c r="F43" s="31"/>
      <c r="G43" s="31"/>
      <c r="H43" s="3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8">
    <mergeCell ref="B41:H41"/>
    <mergeCell ref="B42:H42"/>
    <mergeCell ref="B7:H7"/>
    <mergeCell ref="B9:G9"/>
    <mergeCell ref="B37:H37"/>
    <mergeCell ref="B38:H38"/>
    <mergeCell ref="B39:H39"/>
    <mergeCell ref="B40:H40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6"/>
  <sheetViews>
    <sheetView topLeftCell="A13" zoomScale="124" zoomScaleNormal="124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18.710937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77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78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79</v>
      </c>
      <c r="C9" s="63"/>
      <c r="D9" s="63"/>
      <c r="E9" s="63"/>
      <c r="F9" s="63"/>
      <c r="G9" s="63"/>
      <c r="H9" s="12">
        <v>2725.87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45597</v>
      </c>
      <c r="C10" s="13" t="s">
        <v>8</v>
      </c>
      <c r="D10" s="23">
        <v>6931.73</v>
      </c>
      <c r="E10" s="23">
        <f>D10-F10</f>
        <v>5198.8499999999995</v>
      </c>
      <c r="F10" s="23">
        <v>1732.88</v>
      </c>
      <c r="G10" s="23">
        <f t="shared" ref="G10:G35" si="0">F10</f>
        <v>1732.88</v>
      </c>
      <c r="H10" s="12">
        <f t="shared" ref="H10:H28" si="1">H9+F10-G10</f>
        <v>2725.87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2">B10+(MOD(B10,7)=6)*2+1</f>
        <v>45600</v>
      </c>
      <c r="C11" s="13" t="s">
        <v>8</v>
      </c>
      <c r="D11" s="23">
        <v>2658.4</v>
      </c>
      <c r="E11" s="23">
        <f t="shared" ref="E11:E35" si="3">D11-F11</f>
        <v>1993.83</v>
      </c>
      <c r="F11" s="24">
        <v>664.57</v>
      </c>
      <c r="G11" s="23">
        <f t="shared" si="0"/>
        <v>664.57</v>
      </c>
      <c r="H11" s="12">
        <f t="shared" si="1"/>
        <v>2725.87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2"/>
        <v>45601</v>
      </c>
      <c r="C12" s="13" t="s">
        <v>8</v>
      </c>
      <c r="D12" s="23">
        <v>5043.2</v>
      </c>
      <c r="E12" s="23">
        <f t="shared" si="3"/>
        <v>3782.43</v>
      </c>
      <c r="F12" s="24">
        <v>1260.77</v>
      </c>
      <c r="G12" s="23">
        <f t="shared" si="0"/>
        <v>1260.77</v>
      </c>
      <c r="H12" s="12">
        <f t="shared" si="1"/>
        <v>2725.87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2"/>
        <v>45602</v>
      </c>
      <c r="C13" s="13" t="s">
        <v>8</v>
      </c>
      <c r="D13" s="23">
        <v>1992.83</v>
      </c>
      <c r="E13" s="23">
        <f t="shared" si="3"/>
        <v>1494.6499999999999</v>
      </c>
      <c r="F13" s="24">
        <v>498.18</v>
      </c>
      <c r="G13" s="23">
        <f t="shared" si="0"/>
        <v>498.18</v>
      </c>
      <c r="H13" s="12">
        <f t="shared" si="1"/>
        <v>2725.87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2"/>
        <v>45603</v>
      </c>
      <c r="C14" s="13" t="s">
        <v>8</v>
      </c>
      <c r="D14" s="23">
        <v>1295.6500000000001</v>
      </c>
      <c r="E14" s="23">
        <f t="shared" si="3"/>
        <v>971.74</v>
      </c>
      <c r="F14" s="24">
        <v>323.91000000000003</v>
      </c>
      <c r="G14" s="23">
        <f t="shared" si="0"/>
        <v>323.91000000000003</v>
      </c>
      <c r="H14" s="12">
        <f t="shared" si="1"/>
        <v>2725.87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2"/>
        <v>45604</v>
      </c>
      <c r="C15" s="13" t="s">
        <v>8</v>
      </c>
      <c r="D15" s="23">
        <v>3281.92</v>
      </c>
      <c r="E15" s="23">
        <f t="shared" si="3"/>
        <v>2461.46</v>
      </c>
      <c r="F15" s="25">
        <v>820.46</v>
      </c>
      <c r="G15" s="23">
        <f t="shared" si="0"/>
        <v>820.46</v>
      </c>
      <c r="H15" s="12">
        <f t="shared" si="1"/>
        <v>2725.87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2"/>
        <v>45607</v>
      </c>
      <c r="C16" s="13" t="s">
        <v>8</v>
      </c>
      <c r="D16" s="23">
        <v>2887.69</v>
      </c>
      <c r="E16" s="23">
        <f t="shared" si="3"/>
        <v>2165.81</v>
      </c>
      <c r="F16" s="25">
        <v>721.88</v>
      </c>
      <c r="G16" s="23">
        <f t="shared" si="0"/>
        <v>721.88</v>
      </c>
      <c r="H16" s="12">
        <f t="shared" si="1"/>
        <v>2725.87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2"/>
        <v>45608</v>
      </c>
      <c r="C17" s="13" t="s">
        <v>8</v>
      </c>
      <c r="D17" s="23">
        <v>5134.0200000000004</v>
      </c>
      <c r="E17" s="23">
        <f t="shared" si="3"/>
        <v>3850.5600000000004</v>
      </c>
      <c r="F17" s="25">
        <v>1283.46</v>
      </c>
      <c r="G17" s="23">
        <f t="shared" si="0"/>
        <v>1283.46</v>
      </c>
      <c r="H17" s="12">
        <f t="shared" si="1"/>
        <v>2725.87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2"/>
        <v>45609</v>
      </c>
      <c r="C18" s="13" t="s">
        <v>8</v>
      </c>
      <c r="D18" s="23">
        <v>1203.6600000000001</v>
      </c>
      <c r="E18" s="23">
        <f t="shared" si="3"/>
        <v>902.7600000000001</v>
      </c>
      <c r="F18" s="25">
        <v>300.89999999999998</v>
      </c>
      <c r="G18" s="23">
        <f t="shared" si="0"/>
        <v>300.89999999999998</v>
      </c>
      <c r="H18" s="12">
        <f t="shared" si="1"/>
        <v>2725.87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2"/>
        <v>45610</v>
      </c>
      <c r="C19" s="13" t="s">
        <v>8</v>
      </c>
      <c r="D19" s="23">
        <v>2107.15</v>
      </c>
      <c r="E19" s="23">
        <f t="shared" si="3"/>
        <v>1580.39</v>
      </c>
      <c r="F19" s="25">
        <v>526.76</v>
      </c>
      <c r="G19" s="23">
        <f t="shared" si="0"/>
        <v>526.76</v>
      </c>
      <c r="H19" s="12">
        <f t="shared" si="1"/>
        <v>2725.87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idden="1" x14ac:dyDescent="0.25">
      <c r="A20" s="2"/>
      <c r="B20" s="22">
        <f t="shared" si="2"/>
        <v>45611</v>
      </c>
      <c r="C20" s="13" t="s">
        <v>8</v>
      </c>
      <c r="D20" s="23">
        <v>0</v>
      </c>
      <c r="E20" s="23">
        <f t="shared" si="3"/>
        <v>0</v>
      </c>
      <c r="F20" s="25">
        <v>0</v>
      </c>
      <c r="G20" s="23">
        <f t="shared" si="0"/>
        <v>0</v>
      </c>
      <c r="H20" s="12">
        <f t="shared" si="1"/>
        <v>2725.87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45614</v>
      </c>
      <c r="C21" s="13" t="s">
        <v>8</v>
      </c>
      <c r="D21" s="23">
        <v>2009.44</v>
      </c>
      <c r="E21" s="23">
        <f t="shared" si="3"/>
        <v>1507.0900000000001</v>
      </c>
      <c r="F21" s="25">
        <v>502.35</v>
      </c>
      <c r="G21" s="23">
        <f t="shared" si="0"/>
        <v>502.35</v>
      </c>
      <c r="H21" s="12">
        <f>H20+F21-G21</f>
        <v>2725.87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2"/>
        <v>45615</v>
      </c>
      <c r="C22" s="13" t="s">
        <v>8</v>
      </c>
      <c r="D22" s="23">
        <v>1670.5</v>
      </c>
      <c r="E22" s="23">
        <f t="shared" si="3"/>
        <v>1252.8899999999999</v>
      </c>
      <c r="F22" s="25">
        <v>417.61</v>
      </c>
      <c r="G22" s="23">
        <f t="shared" si="0"/>
        <v>417.61</v>
      </c>
      <c r="H22" s="12">
        <f t="shared" si="1"/>
        <v>2725.87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hidden="1" customHeight="1" x14ac:dyDescent="0.25">
      <c r="A23" s="2"/>
      <c r="B23" s="22">
        <f t="shared" si="2"/>
        <v>45616</v>
      </c>
      <c r="C23" s="13" t="s">
        <v>8</v>
      </c>
      <c r="D23" s="23">
        <v>0</v>
      </c>
      <c r="E23" s="23">
        <f t="shared" si="3"/>
        <v>0</v>
      </c>
      <c r="F23" s="25">
        <v>0</v>
      </c>
      <c r="G23" s="23">
        <f t="shared" si="0"/>
        <v>0</v>
      </c>
      <c r="H23" s="12">
        <f t="shared" si="1"/>
        <v>2725.87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2"/>
        <v>45617</v>
      </c>
      <c r="C24" s="13" t="s">
        <v>8</v>
      </c>
      <c r="D24" s="23">
        <v>2851.99</v>
      </c>
      <c r="E24" s="23">
        <f t="shared" si="3"/>
        <v>2139.0199999999995</v>
      </c>
      <c r="F24" s="25">
        <v>712.97</v>
      </c>
      <c r="G24" s="23">
        <f t="shared" si="0"/>
        <v>712.97</v>
      </c>
      <c r="H24" s="12">
        <f t="shared" si="1"/>
        <v>2725.87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2"/>
        <v>45618</v>
      </c>
      <c r="C25" s="13" t="s">
        <v>8</v>
      </c>
      <c r="D25" s="23">
        <v>1280.31</v>
      </c>
      <c r="E25" s="23">
        <f t="shared" si="3"/>
        <v>960.24</v>
      </c>
      <c r="F25" s="25">
        <v>320.07</v>
      </c>
      <c r="G25" s="23">
        <f t="shared" si="0"/>
        <v>320.07</v>
      </c>
      <c r="H25" s="12">
        <f t="shared" si="1"/>
        <v>2725.87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2"/>
        <v>45621</v>
      </c>
      <c r="C26" s="13" t="s">
        <v>8</v>
      </c>
      <c r="D26" s="23">
        <v>4311.75</v>
      </c>
      <c r="E26" s="23">
        <f t="shared" si="3"/>
        <v>3233.87</v>
      </c>
      <c r="F26" s="25">
        <v>1077.8800000000001</v>
      </c>
      <c r="G26" s="23">
        <f t="shared" si="0"/>
        <v>1077.8800000000001</v>
      </c>
      <c r="H26" s="12">
        <f t="shared" si="1"/>
        <v>2725.87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2"/>
        <v>45622</v>
      </c>
      <c r="C27" s="13" t="s">
        <v>8</v>
      </c>
      <c r="D27" s="23">
        <v>1319.43</v>
      </c>
      <c r="E27" s="23">
        <f t="shared" si="3"/>
        <v>989.60000000000014</v>
      </c>
      <c r="F27" s="25">
        <v>329.83</v>
      </c>
      <c r="G27" s="23">
        <f t="shared" si="0"/>
        <v>329.83</v>
      </c>
      <c r="H27" s="12">
        <f t="shared" si="1"/>
        <v>2725.87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2"/>
        <v>45623</v>
      </c>
      <c r="C28" s="13" t="s">
        <v>8</v>
      </c>
      <c r="D28" s="23">
        <v>2984.7</v>
      </c>
      <c r="E28" s="23">
        <f t="shared" si="3"/>
        <v>2238.54</v>
      </c>
      <c r="F28" s="25">
        <v>746.16</v>
      </c>
      <c r="G28" s="23">
        <f t="shared" si="0"/>
        <v>746.16</v>
      </c>
      <c r="H28" s="12">
        <f t="shared" si="1"/>
        <v>2725.87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2"/>
        <v>45624</v>
      </c>
      <c r="C29" s="13" t="s">
        <v>8</v>
      </c>
      <c r="D29" s="23">
        <v>11756.07</v>
      </c>
      <c r="E29" s="23">
        <f>D29-F29</f>
        <v>8817.1</v>
      </c>
      <c r="F29" s="25">
        <v>2938.97</v>
      </c>
      <c r="G29" s="23">
        <f>F29</f>
        <v>2938.97</v>
      </c>
      <c r="H29" s="12">
        <f t="shared" ref="H29:H35" si="4">H28+F29-G29</f>
        <v>2725.8700000000003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32"/>
      <c r="B30" s="22">
        <f t="shared" si="2"/>
        <v>45625</v>
      </c>
      <c r="C30" s="13" t="s">
        <v>8</v>
      </c>
      <c r="D30" s="23">
        <v>3816.34</v>
      </c>
      <c r="E30" s="23">
        <f t="shared" si="3"/>
        <v>2862.29</v>
      </c>
      <c r="F30" s="25">
        <v>954.05</v>
      </c>
      <c r="G30" s="23">
        <f>F30</f>
        <v>954.05</v>
      </c>
      <c r="H30" s="12">
        <f t="shared" si="4"/>
        <v>2725.87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hidden="1" customHeight="1" x14ac:dyDescent="0.25">
      <c r="A31" s="32"/>
      <c r="B31" s="22">
        <f t="shared" si="2"/>
        <v>45628</v>
      </c>
      <c r="C31" s="13" t="s">
        <v>8</v>
      </c>
      <c r="D31" s="23">
        <v>0</v>
      </c>
      <c r="E31" s="23">
        <f t="shared" si="3"/>
        <v>0</v>
      </c>
      <c r="F31" s="25">
        <v>0</v>
      </c>
      <c r="G31" s="23">
        <f>F31</f>
        <v>0</v>
      </c>
      <c r="H31" s="12">
        <f t="shared" si="4"/>
        <v>2725.87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idden="1" x14ac:dyDescent="0.25">
      <c r="A32" s="26"/>
      <c r="B32" s="22">
        <f t="shared" si="2"/>
        <v>45629</v>
      </c>
      <c r="C32" s="13" t="s">
        <v>8</v>
      </c>
      <c r="D32" s="23">
        <v>0</v>
      </c>
      <c r="E32" s="23">
        <f t="shared" si="3"/>
        <v>0</v>
      </c>
      <c r="F32" s="25">
        <v>0</v>
      </c>
      <c r="G32" s="23">
        <f>F32</f>
        <v>0</v>
      </c>
      <c r="H32" s="12">
        <f t="shared" si="4"/>
        <v>2725.87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6" t="s">
        <v>12</v>
      </c>
      <c r="B33" s="22">
        <v>45614</v>
      </c>
      <c r="C33" s="27" t="s">
        <v>11</v>
      </c>
      <c r="D33" s="23">
        <v>0</v>
      </c>
      <c r="E33" s="23">
        <f t="shared" si="3"/>
        <v>0</v>
      </c>
      <c r="F33" s="25">
        <v>0</v>
      </c>
      <c r="G33" s="23">
        <v>2725.87</v>
      </c>
      <c r="H33" s="12">
        <f t="shared" si="4"/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6" t="s">
        <v>13</v>
      </c>
      <c r="B34" s="22">
        <v>45625</v>
      </c>
      <c r="C34" s="27" t="s">
        <v>11</v>
      </c>
      <c r="D34" s="23">
        <v>12215.48</v>
      </c>
      <c r="E34" s="23">
        <f>D34-F34</f>
        <v>9161.61</v>
      </c>
      <c r="F34" s="25">
        <f>0.25*D34</f>
        <v>3053.87</v>
      </c>
      <c r="G34" s="23">
        <v>0</v>
      </c>
      <c r="H34" s="12">
        <f t="shared" si="4"/>
        <v>3053.87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idden="1" x14ac:dyDescent="0.25">
      <c r="A35" s="2"/>
      <c r="B35" s="22"/>
      <c r="C35" s="27"/>
      <c r="D35" s="23"/>
      <c r="E35" s="23">
        <f t="shared" si="3"/>
        <v>0</v>
      </c>
      <c r="F35" s="25">
        <f>D35*25%</f>
        <v>0</v>
      </c>
      <c r="G35" s="23">
        <f t="shared" si="0"/>
        <v>0</v>
      </c>
      <c r="H35" s="12">
        <f t="shared" si="4"/>
        <v>3053.87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18" t="s">
        <v>9</v>
      </c>
      <c r="C36" s="19"/>
      <c r="D36" s="20">
        <f>SUM(D10:D35)</f>
        <v>76752.25999999998</v>
      </c>
      <c r="E36" s="20">
        <f>SUM(E10:E35)</f>
        <v>57564.73</v>
      </c>
      <c r="F36" s="20">
        <f>SUM(F10:F35)</f>
        <v>19187.53</v>
      </c>
      <c r="G36" s="14">
        <f>SUM(G10:G35)</f>
        <v>18859.53</v>
      </c>
      <c r="H36" s="12">
        <f>+H35</f>
        <v>3053.87</v>
      </c>
      <c r="I36" s="1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9"/>
      <c r="B37" s="86" t="s">
        <v>10</v>
      </c>
      <c r="C37" s="87"/>
      <c r="D37" s="87"/>
      <c r="E37" s="87"/>
      <c r="F37" s="87"/>
      <c r="G37" s="87"/>
      <c r="H37" s="88"/>
      <c r="I37" s="3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9"/>
      <c r="B38" s="73" t="s">
        <v>80</v>
      </c>
      <c r="C38" s="74"/>
      <c r="D38" s="74"/>
      <c r="E38" s="74"/>
      <c r="F38" s="74"/>
      <c r="G38" s="74"/>
      <c r="H38" s="75"/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2.25" customHeight="1" x14ac:dyDescent="0.25">
      <c r="A39" s="29"/>
      <c r="B39" s="82" t="s">
        <v>81</v>
      </c>
      <c r="C39" s="68"/>
      <c r="D39" s="68"/>
      <c r="E39" s="68"/>
      <c r="F39" s="68"/>
      <c r="G39" s="68"/>
      <c r="H39" s="75"/>
      <c r="I39" s="30"/>
      <c r="J39" s="3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9.25" customHeight="1" x14ac:dyDescent="0.25">
      <c r="A40" s="29"/>
      <c r="B40" s="82" t="s">
        <v>82</v>
      </c>
      <c r="C40" s="74"/>
      <c r="D40" s="74"/>
      <c r="E40" s="74"/>
      <c r="F40" s="74"/>
      <c r="G40" s="74"/>
      <c r="H40" s="75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 hidden="1" customHeight="1" x14ac:dyDescent="0.25">
      <c r="A41" s="29"/>
      <c r="B41" s="82"/>
      <c r="C41" s="83"/>
      <c r="D41" s="83"/>
      <c r="E41" s="83"/>
      <c r="F41" s="83"/>
      <c r="G41" s="83"/>
      <c r="H41" s="84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 x14ac:dyDescent="0.3">
      <c r="A42" s="29"/>
      <c r="B42" s="76"/>
      <c r="C42" s="77"/>
      <c r="D42" s="77"/>
      <c r="E42" s="77"/>
      <c r="F42" s="77"/>
      <c r="G42" s="77"/>
      <c r="H42" s="78"/>
      <c r="I42" s="30"/>
      <c r="J42" s="2"/>
      <c r="K42" s="1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31"/>
      <c r="C43" s="31"/>
      <c r="D43" s="31"/>
      <c r="E43" s="31"/>
      <c r="F43" s="31"/>
      <c r="G43" s="31"/>
      <c r="H43" s="3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8">
    <mergeCell ref="B41:H41"/>
    <mergeCell ref="B42:H42"/>
    <mergeCell ref="B7:H7"/>
    <mergeCell ref="B9:G9"/>
    <mergeCell ref="B37:H37"/>
    <mergeCell ref="B38:H38"/>
    <mergeCell ref="B39:H39"/>
    <mergeCell ref="B40:H40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5"/>
  <sheetViews>
    <sheetView zoomScale="110" zoomScaleNormal="110" workbookViewId="0">
      <selection activeCell="M18" sqref="M18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83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88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84</v>
      </c>
      <c r="C9" s="63"/>
      <c r="D9" s="63"/>
      <c r="E9" s="63"/>
      <c r="F9" s="63"/>
      <c r="G9" s="63"/>
      <c r="H9" s="12">
        <v>3053.87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45628</v>
      </c>
      <c r="C10" s="13" t="s">
        <v>8</v>
      </c>
      <c r="D10" s="23">
        <v>9215.01</v>
      </c>
      <c r="E10" s="23">
        <f>D10-F10</f>
        <v>6911.34</v>
      </c>
      <c r="F10" s="23">
        <v>2303.67</v>
      </c>
      <c r="G10" s="23">
        <f t="shared" ref="G10:G34" si="0">F10</f>
        <v>2303.67</v>
      </c>
      <c r="H10" s="12">
        <f t="shared" ref="H10:H28" si="1">H9+F10-G10</f>
        <v>3053.87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1" si="2">B10+(MOD(B10,7)=6)*2+1</f>
        <v>45629</v>
      </c>
      <c r="C11" s="13" t="s">
        <v>8</v>
      </c>
      <c r="D11" s="23">
        <v>27646.1</v>
      </c>
      <c r="E11" s="23">
        <f t="shared" ref="E11:E34" si="3">D11-F11</f>
        <v>20734.82</v>
      </c>
      <c r="F11" s="24">
        <v>6911.28</v>
      </c>
      <c r="G11" s="23">
        <f t="shared" si="0"/>
        <v>6911.28</v>
      </c>
      <c r="H11" s="12">
        <f t="shared" si="1"/>
        <v>3053.87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2"/>
        <v>45630</v>
      </c>
      <c r="C12" s="13" t="s">
        <v>8</v>
      </c>
      <c r="D12" s="23">
        <v>5345.96</v>
      </c>
      <c r="E12" s="23">
        <f t="shared" si="3"/>
        <v>4009.49</v>
      </c>
      <c r="F12" s="24">
        <v>1336.47</v>
      </c>
      <c r="G12" s="23">
        <f t="shared" si="0"/>
        <v>1336.47</v>
      </c>
      <c r="H12" s="12">
        <f t="shared" si="1"/>
        <v>3053.87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2"/>
        <v>45631</v>
      </c>
      <c r="C13" s="13" t="s">
        <v>8</v>
      </c>
      <c r="D13" s="23">
        <v>4856.45</v>
      </c>
      <c r="E13" s="23">
        <f t="shared" si="3"/>
        <v>3642.38</v>
      </c>
      <c r="F13" s="24">
        <v>1214.07</v>
      </c>
      <c r="G13" s="23">
        <f t="shared" si="0"/>
        <v>1214.07</v>
      </c>
      <c r="H13" s="12">
        <f t="shared" si="1"/>
        <v>3053.87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2"/>
        <v>45632</v>
      </c>
      <c r="C14" s="13" t="s">
        <v>8</v>
      </c>
      <c r="D14" s="23">
        <v>3646.62</v>
      </c>
      <c r="E14" s="23">
        <f t="shared" si="3"/>
        <v>2734.99</v>
      </c>
      <c r="F14" s="24">
        <v>911.63</v>
      </c>
      <c r="G14" s="23">
        <f t="shared" si="0"/>
        <v>911.63</v>
      </c>
      <c r="H14" s="12">
        <f t="shared" si="1"/>
        <v>3053.87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2"/>
        <v>45635</v>
      </c>
      <c r="C15" s="13" t="s">
        <v>8</v>
      </c>
      <c r="D15" s="23">
        <v>5526.32</v>
      </c>
      <c r="E15" s="23">
        <f t="shared" si="3"/>
        <v>4144.78</v>
      </c>
      <c r="F15" s="25">
        <v>1381.54</v>
      </c>
      <c r="G15" s="23">
        <f t="shared" si="0"/>
        <v>1381.54</v>
      </c>
      <c r="H15" s="12">
        <f t="shared" si="1"/>
        <v>3053.87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2"/>
        <v>45636</v>
      </c>
      <c r="C16" s="13" t="s">
        <v>8</v>
      </c>
      <c r="D16" s="23">
        <v>5256.9</v>
      </c>
      <c r="E16" s="23">
        <f t="shared" si="3"/>
        <v>3942.7299999999996</v>
      </c>
      <c r="F16" s="25">
        <v>1314.17</v>
      </c>
      <c r="G16" s="23">
        <f t="shared" si="0"/>
        <v>1314.17</v>
      </c>
      <c r="H16" s="12">
        <f t="shared" si="1"/>
        <v>3053.87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2"/>
        <v>45637</v>
      </c>
      <c r="C17" s="13" t="s">
        <v>8</v>
      </c>
      <c r="D17" s="23">
        <f>500.73+2942.98</f>
        <v>3443.71</v>
      </c>
      <c r="E17" s="23">
        <f t="shared" si="3"/>
        <v>2582.8200000000002</v>
      </c>
      <c r="F17" s="25">
        <f>735.72+125.17</f>
        <v>860.89</v>
      </c>
      <c r="G17" s="23">
        <f t="shared" si="0"/>
        <v>860.89</v>
      </c>
      <c r="H17" s="12">
        <f t="shared" si="1"/>
        <v>3053.87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2"/>
        <v>45638</v>
      </c>
      <c r="C18" s="13" t="s">
        <v>8</v>
      </c>
      <c r="D18" s="23">
        <v>2589.5</v>
      </c>
      <c r="E18" s="23">
        <f t="shared" si="3"/>
        <v>1942.1399999999999</v>
      </c>
      <c r="F18" s="25">
        <v>647.36</v>
      </c>
      <c r="G18" s="23">
        <f t="shared" si="0"/>
        <v>647.36</v>
      </c>
      <c r="H18" s="12">
        <f t="shared" si="1"/>
        <v>3053.87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2"/>
        <v>45639</v>
      </c>
      <c r="C19" s="13" t="s">
        <v>8</v>
      </c>
      <c r="D19" s="23">
        <v>3974.61</v>
      </c>
      <c r="E19" s="23">
        <f t="shared" si="3"/>
        <v>2980.9700000000003</v>
      </c>
      <c r="F19" s="25">
        <v>993.64</v>
      </c>
      <c r="G19" s="23">
        <f t="shared" si="0"/>
        <v>993.64</v>
      </c>
      <c r="H19" s="12">
        <f t="shared" si="1"/>
        <v>3053.87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2"/>
        <v>45642</v>
      </c>
      <c r="C20" s="13" t="s">
        <v>8</v>
      </c>
      <c r="D20" s="23">
        <v>3993.66</v>
      </c>
      <c r="E20" s="23">
        <f t="shared" si="3"/>
        <v>2995.25</v>
      </c>
      <c r="F20" s="25">
        <v>998.41</v>
      </c>
      <c r="G20" s="23">
        <f t="shared" si="0"/>
        <v>998.41</v>
      </c>
      <c r="H20" s="12">
        <f t="shared" si="1"/>
        <v>3053.87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45643</v>
      </c>
      <c r="C21" s="13" t="s">
        <v>8</v>
      </c>
      <c r="D21" s="23">
        <v>9749.7199999999993</v>
      </c>
      <c r="E21" s="23">
        <f t="shared" si="3"/>
        <v>7312.2999999999993</v>
      </c>
      <c r="F21" s="25">
        <v>2437.42</v>
      </c>
      <c r="G21" s="23">
        <f t="shared" si="0"/>
        <v>2437.42</v>
      </c>
      <c r="H21" s="12">
        <f>H20+F21-G21</f>
        <v>3053.87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2"/>
        <v>45644</v>
      </c>
      <c r="C22" s="13" t="s">
        <v>8</v>
      </c>
      <c r="D22" s="23">
        <v>3613.76</v>
      </c>
      <c r="E22" s="23">
        <f t="shared" si="3"/>
        <v>2710.34</v>
      </c>
      <c r="F22" s="25">
        <v>903.42</v>
      </c>
      <c r="G22" s="23">
        <f t="shared" si="0"/>
        <v>903.42</v>
      </c>
      <c r="H22" s="12">
        <f t="shared" si="1"/>
        <v>3053.87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 t="shared" si="2"/>
        <v>45645</v>
      </c>
      <c r="C23" s="13" t="s">
        <v>8</v>
      </c>
      <c r="D23" s="23">
        <v>6191.03</v>
      </c>
      <c r="E23" s="23">
        <f t="shared" si="3"/>
        <v>4643.2999999999993</v>
      </c>
      <c r="F23" s="25">
        <v>1547.73</v>
      </c>
      <c r="G23" s="23">
        <f t="shared" si="0"/>
        <v>1547.73</v>
      </c>
      <c r="H23" s="12">
        <f t="shared" si="1"/>
        <v>3053.8700000000003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2"/>
        <v>45646</v>
      </c>
      <c r="C24" s="13" t="s">
        <v>8</v>
      </c>
      <c r="D24" s="23">
        <v>1582.16</v>
      </c>
      <c r="E24" s="23">
        <f t="shared" si="3"/>
        <v>1186.6300000000001</v>
      </c>
      <c r="F24" s="25">
        <v>395.53</v>
      </c>
      <c r="G24" s="23">
        <f t="shared" si="0"/>
        <v>395.53</v>
      </c>
      <c r="H24" s="12">
        <f t="shared" si="1"/>
        <v>3053.8700000000008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2"/>
        <v>45649</v>
      </c>
      <c r="C25" s="13" t="s">
        <v>8</v>
      </c>
      <c r="D25" s="23">
        <v>10762.39</v>
      </c>
      <c r="E25" s="23">
        <f t="shared" si="3"/>
        <v>8071.8099999999995</v>
      </c>
      <c r="F25" s="25">
        <v>2690.58</v>
      </c>
      <c r="G25" s="23">
        <f t="shared" si="0"/>
        <v>2690.58</v>
      </c>
      <c r="H25" s="12">
        <f t="shared" si="1"/>
        <v>3053.8700000000008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2"/>
        <v>45650</v>
      </c>
      <c r="C26" s="13" t="s">
        <v>8</v>
      </c>
      <c r="D26" s="23">
        <v>9245.8700000000008</v>
      </c>
      <c r="E26" s="23">
        <f t="shared" si="3"/>
        <v>6934.4500000000007</v>
      </c>
      <c r="F26" s="25">
        <v>2311.42</v>
      </c>
      <c r="G26" s="23">
        <f t="shared" si="0"/>
        <v>2311.42</v>
      </c>
      <c r="H26" s="12">
        <f t="shared" si="1"/>
        <v>3053.8700000000008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idden="1" x14ac:dyDescent="0.25">
      <c r="A27" s="2"/>
      <c r="B27" s="22">
        <f t="shared" si="2"/>
        <v>45651</v>
      </c>
      <c r="C27" s="13" t="s">
        <v>8</v>
      </c>
      <c r="D27" s="23">
        <v>0</v>
      </c>
      <c r="E27" s="23">
        <f t="shared" si="3"/>
        <v>0</v>
      </c>
      <c r="F27" s="25">
        <v>0</v>
      </c>
      <c r="G27" s="23">
        <f t="shared" si="0"/>
        <v>0</v>
      </c>
      <c r="H27" s="12">
        <f t="shared" si="1"/>
        <v>3053.8700000000008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2"/>
        <v>45652</v>
      </c>
      <c r="C28" s="13" t="s">
        <v>8</v>
      </c>
      <c r="D28" s="23">
        <v>6983.53</v>
      </c>
      <c r="E28" s="23">
        <f t="shared" si="3"/>
        <v>5237.6499999999996</v>
      </c>
      <c r="F28" s="25">
        <v>1745.88</v>
      </c>
      <c r="G28" s="23">
        <f t="shared" si="0"/>
        <v>1745.88</v>
      </c>
      <c r="H28" s="12">
        <f t="shared" si="1"/>
        <v>3053.8700000000008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2"/>
        <v>45653</v>
      </c>
      <c r="C29" s="13" t="s">
        <v>8</v>
      </c>
      <c r="D29" s="23">
        <v>10210.530000000001</v>
      </c>
      <c r="E29" s="23">
        <f>D29-F29</f>
        <v>7657.9000000000005</v>
      </c>
      <c r="F29" s="25">
        <v>2552.63</v>
      </c>
      <c r="G29" s="23">
        <f>F29</f>
        <v>2552.63</v>
      </c>
      <c r="H29" s="12">
        <f t="shared" ref="H29:H34" si="4">H28+F29-G29</f>
        <v>3053.8700000000008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2"/>
      <c r="B30" s="22">
        <f t="shared" si="2"/>
        <v>45656</v>
      </c>
      <c r="C30" s="13" t="s">
        <v>8</v>
      </c>
      <c r="D30" s="23">
        <v>12145.64</v>
      </c>
      <c r="E30" s="23">
        <f t="shared" si="3"/>
        <v>9109.25</v>
      </c>
      <c r="F30" s="25">
        <v>3036.39</v>
      </c>
      <c r="G30" s="23">
        <f>F30</f>
        <v>3036.39</v>
      </c>
      <c r="H30" s="12">
        <f t="shared" si="4"/>
        <v>3053.8700000000003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x14ac:dyDescent="0.25">
      <c r="A31" s="32"/>
      <c r="B31" s="22">
        <f t="shared" si="2"/>
        <v>45657</v>
      </c>
      <c r="C31" s="13" t="s">
        <v>8</v>
      </c>
      <c r="D31" s="23">
        <v>44369.45</v>
      </c>
      <c r="E31" s="23">
        <f t="shared" si="3"/>
        <v>33277.299999999996</v>
      </c>
      <c r="F31" s="25">
        <v>11092.15</v>
      </c>
      <c r="G31" s="23">
        <f>F31</f>
        <v>11092.15</v>
      </c>
      <c r="H31" s="12">
        <f t="shared" si="4"/>
        <v>3053.8700000000008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x14ac:dyDescent="0.25">
      <c r="A32" s="26" t="s">
        <v>12</v>
      </c>
      <c r="B32" s="22">
        <v>45643</v>
      </c>
      <c r="C32" s="27" t="s">
        <v>11</v>
      </c>
      <c r="D32" s="23">
        <v>0</v>
      </c>
      <c r="E32" s="23">
        <f t="shared" si="3"/>
        <v>0</v>
      </c>
      <c r="F32" s="25">
        <v>0</v>
      </c>
      <c r="G32" s="23">
        <v>3053.87</v>
      </c>
      <c r="H32" s="12">
        <f t="shared" si="4"/>
        <v>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6" t="s">
        <v>13</v>
      </c>
      <c r="B33" s="22">
        <v>45657</v>
      </c>
      <c r="C33" s="27" t="s">
        <v>11</v>
      </c>
      <c r="D33" s="23">
        <v>10747.29</v>
      </c>
      <c r="E33" s="23">
        <f>D33-F33</f>
        <v>8060.4675000000007</v>
      </c>
      <c r="F33" s="25">
        <f>D33*0.25</f>
        <v>2686.8225000000002</v>
      </c>
      <c r="G33" s="23">
        <v>0</v>
      </c>
      <c r="H33" s="12">
        <f t="shared" si="4"/>
        <v>2686.8225000000002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idden="1" x14ac:dyDescent="0.25">
      <c r="A34" s="2"/>
      <c r="B34" s="22"/>
      <c r="C34" s="27"/>
      <c r="D34" s="23"/>
      <c r="E34" s="23">
        <f t="shared" si="3"/>
        <v>0</v>
      </c>
      <c r="F34" s="25">
        <f>D34*25%</f>
        <v>0</v>
      </c>
      <c r="G34" s="23">
        <f t="shared" si="0"/>
        <v>0</v>
      </c>
      <c r="H34" s="12">
        <f t="shared" si="4"/>
        <v>2686.8225000000002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18" t="s">
        <v>9</v>
      </c>
      <c r="C35" s="19"/>
      <c r="D35" s="20">
        <f>SUM(D10:D34)</f>
        <v>201096.21000000005</v>
      </c>
      <c r="E35" s="20">
        <f>SUM(E10:E34)</f>
        <v>150823.10749999998</v>
      </c>
      <c r="F35" s="20">
        <f>SUM(F10:F34)</f>
        <v>50273.102499999994</v>
      </c>
      <c r="G35" s="14">
        <f>SUM(G10:G34)</f>
        <v>50640.149999999994</v>
      </c>
      <c r="H35" s="12">
        <f>+H34</f>
        <v>2686.8225000000002</v>
      </c>
      <c r="I35" s="1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9"/>
      <c r="B36" s="86" t="s">
        <v>10</v>
      </c>
      <c r="C36" s="87"/>
      <c r="D36" s="87"/>
      <c r="E36" s="87"/>
      <c r="F36" s="87"/>
      <c r="G36" s="87"/>
      <c r="H36" s="88"/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9"/>
      <c r="B37" s="73" t="s">
        <v>85</v>
      </c>
      <c r="C37" s="74"/>
      <c r="D37" s="74"/>
      <c r="E37" s="74"/>
      <c r="F37" s="74"/>
      <c r="G37" s="74"/>
      <c r="H37" s="75"/>
      <c r="I37" s="3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2.25" customHeight="1" x14ac:dyDescent="0.25">
      <c r="A38" s="29"/>
      <c r="B38" s="82" t="s">
        <v>86</v>
      </c>
      <c r="C38" s="68"/>
      <c r="D38" s="68"/>
      <c r="E38" s="68"/>
      <c r="F38" s="68"/>
      <c r="G38" s="68"/>
      <c r="H38" s="75"/>
      <c r="I38" s="30"/>
      <c r="J38" s="36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9.25" customHeight="1" x14ac:dyDescent="0.25">
      <c r="A39" s="29"/>
      <c r="B39" s="82" t="s">
        <v>87</v>
      </c>
      <c r="C39" s="74"/>
      <c r="D39" s="74"/>
      <c r="E39" s="74"/>
      <c r="F39" s="74"/>
      <c r="G39" s="74"/>
      <c r="H39" s="75"/>
      <c r="I39" s="3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0" hidden="1" customHeight="1" x14ac:dyDescent="0.25">
      <c r="A40" s="29"/>
      <c r="B40" s="82"/>
      <c r="C40" s="83"/>
      <c r="D40" s="83"/>
      <c r="E40" s="83"/>
      <c r="F40" s="83"/>
      <c r="G40" s="83"/>
      <c r="H40" s="84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thickBot="1" x14ac:dyDescent="0.3">
      <c r="A41" s="29"/>
      <c r="B41" s="76"/>
      <c r="C41" s="77"/>
      <c r="D41" s="77"/>
      <c r="E41" s="77"/>
      <c r="F41" s="77"/>
      <c r="G41" s="77"/>
      <c r="H41" s="78"/>
      <c r="I41" s="30"/>
      <c r="J41" s="2"/>
      <c r="K41" s="1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31"/>
      <c r="C42" s="31"/>
      <c r="D42" s="31"/>
      <c r="E42" s="31"/>
      <c r="F42" s="31"/>
      <c r="G42" s="31"/>
      <c r="H42" s="31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</sheetData>
  <mergeCells count="8">
    <mergeCell ref="B40:H40"/>
    <mergeCell ref="B41:H41"/>
    <mergeCell ref="B7:H7"/>
    <mergeCell ref="B9:G9"/>
    <mergeCell ref="B36:H36"/>
    <mergeCell ref="B37:H37"/>
    <mergeCell ref="B38:H38"/>
    <mergeCell ref="B39:H39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999"/>
  <sheetViews>
    <sheetView topLeftCell="A7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89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90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28</v>
      </c>
      <c r="C9" s="63"/>
      <c r="D9" s="63"/>
      <c r="E9" s="63"/>
      <c r="F9" s="63"/>
      <c r="G9" s="63"/>
      <c r="H9" s="12">
        <v>2686.82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45659</v>
      </c>
      <c r="C10" s="13" t="s">
        <v>8</v>
      </c>
      <c r="D10" s="23">
        <v>1611.6</v>
      </c>
      <c r="E10" s="23">
        <f>D10-F10</f>
        <v>1208.6999999999998</v>
      </c>
      <c r="F10" s="23">
        <v>402.9</v>
      </c>
      <c r="G10" s="23">
        <f t="shared" ref="G10:G28" si="0">F10</f>
        <v>402.9</v>
      </c>
      <c r="H10" s="12">
        <f t="shared" ref="H10:H28" si="1">H9+F10-G10</f>
        <v>2686.82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1" si="2">B10+(MOD(B10,7)=6)*2+1</f>
        <v>45660</v>
      </c>
      <c r="C11" s="13" t="s">
        <v>8</v>
      </c>
      <c r="D11" s="23">
        <v>33048.699999999997</v>
      </c>
      <c r="E11" s="23">
        <f t="shared" ref="E11:E31" si="3">D11-F11</f>
        <v>24786.549999999996</v>
      </c>
      <c r="F11" s="24">
        <v>8262.15</v>
      </c>
      <c r="G11" s="23">
        <f t="shared" si="0"/>
        <v>8262.15</v>
      </c>
      <c r="H11" s="12">
        <f t="shared" si="1"/>
        <v>2686.8199999999997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2"/>
        <v>45663</v>
      </c>
      <c r="C12" s="13" t="s">
        <v>8</v>
      </c>
      <c r="D12" s="23">
        <v>29309.37</v>
      </c>
      <c r="E12" s="23">
        <f t="shared" si="3"/>
        <v>21982.05</v>
      </c>
      <c r="F12" s="24">
        <v>7327.32</v>
      </c>
      <c r="G12" s="23">
        <f t="shared" si="0"/>
        <v>7327.32</v>
      </c>
      <c r="H12" s="12">
        <f t="shared" si="1"/>
        <v>2686.8199999999997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2"/>
        <v>45664</v>
      </c>
      <c r="C13" s="13" t="s">
        <v>8</v>
      </c>
      <c r="D13" s="23">
        <v>38041.769999999997</v>
      </c>
      <c r="E13" s="23">
        <f t="shared" si="3"/>
        <v>28531.359999999997</v>
      </c>
      <c r="F13" s="24">
        <v>9510.41</v>
      </c>
      <c r="G13" s="23">
        <f t="shared" si="0"/>
        <v>9510.41</v>
      </c>
      <c r="H13" s="12">
        <f t="shared" si="1"/>
        <v>2686.8199999999997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2"/>
        <v>45665</v>
      </c>
      <c r="C14" s="13" t="s">
        <v>8</v>
      </c>
      <c r="D14" s="23">
        <v>23062.89</v>
      </c>
      <c r="E14" s="23">
        <f t="shared" si="3"/>
        <v>17297.2</v>
      </c>
      <c r="F14" s="24">
        <v>5765.69</v>
      </c>
      <c r="G14" s="23">
        <f t="shared" si="0"/>
        <v>5765.69</v>
      </c>
      <c r="H14" s="12">
        <f t="shared" si="1"/>
        <v>2686.8199999999988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2"/>
        <v>45666</v>
      </c>
      <c r="C15" s="13" t="s">
        <v>8</v>
      </c>
      <c r="D15" s="23">
        <v>42324.98</v>
      </c>
      <c r="E15" s="23">
        <f t="shared" si="3"/>
        <v>31743.770000000004</v>
      </c>
      <c r="F15" s="25">
        <v>10581.21</v>
      </c>
      <c r="G15" s="23">
        <f t="shared" si="0"/>
        <v>10581.21</v>
      </c>
      <c r="H15" s="12">
        <f t="shared" si="1"/>
        <v>2686.8199999999997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2"/>
        <v>45667</v>
      </c>
      <c r="C16" s="13" t="s">
        <v>8</v>
      </c>
      <c r="D16" s="23">
        <v>36272.07</v>
      </c>
      <c r="E16" s="23">
        <f t="shared" si="3"/>
        <v>27204.080000000002</v>
      </c>
      <c r="F16" s="25">
        <v>9067.99</v>
      </c>
      <c r="G16" s="23">
        <f t="shared" si="0"/>
        <v>9067.99</v>
      </c>
      <c r="H16" s="12">
        <f t="shared" si="1"/>
        <v>2686.8199999999997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2"/>
        <v>45670</v>
      </c>
      <c r="C17" s="13" t="s">
        <v>8</v>
      </c>
      <c r="D17" s="23">
        <v>42389.07</v>
      </c>
      <c r="E17" s="23">
        <f t="shared" si="3"/>
        <v>31791.84</v>
      </c>
      <c r="F17" s="25">
        <v>10597.23</v>
      </c>
      <c r="G17" s="23">
        <f t="shared" si="0"/>
        <v>10597.23</v>
      </c>
      <c r="H17" s="12">
        <f t="shared" si="1"/>
        <v>2686.8199999999997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2"/>
        <v>45671</v>
      </c>
      <c r="C18" s="13" t="s">
        <v>8</v>
      </c>
      <c r="D18" s="23">
        <v>42084.92</v>
      </c>
      <c r="E18" s="23">
        <f t="shared" si="3"/>
        <v>31563.729999999996</v>
      </c>
      <c r="F18" s="25">
        <v>10521.19</v>
      </c>
      <c r="G18" s="23">
        <f t="shared" si="0"/>
        <v>10521.19</v>
      </c>
      <c r="H18" s="12">
        <f t="shared" si="1"/>
        <v>2686.8199999999997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2"/>
        <v>45672</v>
      </c>
      <c r="C19" s="13" t="s">
        <v>8</v>
      </c>
      <c r="D19" s="23">
        <v>26423.75</v>
      </c>
      <c r="E19" s="23">
        <f t="shared" si="3"/>
        <v>19817.82</v>
      </c>
      <c r="F19" s="25">
        <v>6605.93</v>
      </c>
      <c r="G19" s="23">
        <f t="shared" si="0"/>
        <v>6605.93</v>
      </c>
      <c r="H19" s="12">
        <f t="shared" si="1"/>
        <v>2686.8199999999997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2"/>
        <v>45673</v>
      </c>
      <c r="C20" s="13" t="s">
        <v>8</v>
      </c>
      <c r="D20" s="23">
        <v>32665.89</v>
      </c>
      <c r="E20" s="23">
        <f t="shared" si="3"/>
        <v>24499.45</v>
      </c>
      <c r="F20" s="25">
        <v>8166.44</v>
      </c>
      <c r="G20" s="23">
        <f t="shared" si="0"/>
        <v>8166.44</v>
      </c>
      <c r="H20" s="12">
        <f t="shared" si="1"/>
        <v>2686.8199999999988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45674</v>
      </c>
      <c r="C21" s="13" t="s">
        <v>8</v>
      </c>
      <c r="D21" s="23">
        <v>34111.79</v>
      </c>
      <c r="E21" s="23">
        <f t="shared" si="3"/>
        <v>25583.86</v>
      </c>
      <c r="F21" s="25">
        <v>8527.93</v>
      </c>
      <c r="G21" s="23">
        <f t="shared" si="0"/>
        <v>8527.93</v>
      </c>
      <c r="H21" s="12">
        <f>H20+F21-G21</f>
        <v>2686.8199999999997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2"/>
        <v>45677</v>
      </c>
      <c r="C22" s="13" t="s">
        <v>8</v>
      </c>
      <c r="D22" s="23">
        <v>21558.47</v>
      </c>
      <c r="E22" s="23">
        <f t="shared" si="3"/>
        <v>16168.86</v>
      </c>
      <c r="F22" s="25">
        <v>5389.61</v>
      </c>
      <c r="G22" s="23">
        <f t="shared" si="0"/>
        <v>5389.61</v>
      </c>
      <c r="H22" s="12">
        <f t="shared" si="1"/>
        <v>2686.8199999999997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 t="shared" si="2"/>
        <v>45678</v>
      </c>
      <c r="C23" s="13" t="s">
        <v>8</v>
      </c>
      <c r="D23" s="23">
        <v>41036.089999999997</v>
      </c>
      <c r="E23" s="23">
        <f t="shared" si="3"/>
        <v>30777.079999999994</v>
      </c>
      <c r="F23" s="25">
        <v>10259.01</v>
      </c>
      <c r="G23" s="23">
        <f t="shared" si="0"/>
        <v>10259.01</v>
      </c>
      <c r="H23" s="12">
        <f t="shared" si="1"/>
        <v>2686.8199999999997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2"/>
        <v>45679</v>
      </c>
      <c r="C24" s="13" t="s">
        <v>8</v>
      </c>
      <c r="D24" s="23">
        <v>25801.45</v>
      </c>
      <c r="E24" s="23">
        <f t="shared" si="3"/>
        <v>19351.09</v>
      </c>
      <c r="F24" s="25">
        <v>6450.36</v>
      </c>
      <c r="G24" s="23">
        <f t="shared" si="0"/>
        <v>6450.36</v>
      </c>
      <c r="H24" s="12">
        <f t="shared" si="1"/>
        <v>2686.8200000000006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2"/>
        <v>45680</v>
      </c>
      <c r="C25" s="13" t="s">
        <v>8</v>
      </c>
      <c r="D25" s="23">
        <v>26748.78</v>
      </c>
      <c r="E25" s="23">
        <f t="shared" si="3"/>
        <v>20061.61</v>
      </c>
      <c r="F25" s="25">
        <v>6687.17</v>
      </c>
      <c r="G25" s="23">
        <f t="shared" si="0"/>
        <v>6687.17</v>
      </c>
      <c r="H25" s="12">
        <f t="shared" si="1"/>
        <v>2686.8200000000015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2"/>
        <v>45681</v>
      </c>
      <c r="C26" s="13" t="s">
        <v>8</v>
      </c>
      <c r="D26" s="23">
        <v>35094.300000000003</v>
      </c>
      <c r="E26" s="23">
        <f t="shared" si="3"/>
        <v>26320.730000000003</v>
      </c>
      <c r="F26" s="25">
        <v>8773.57</v>
      </c>
      <c r="G26" s="23">
        <f t="shared" si="0"/>
        <v>8773.57</v>
      </c>
      <c r="H26" s="12">
        <f t="shared" si="1"/>
        <v>2686.8200000000015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2">
        <f t="shared" si="2"/>
        <v>45684</v>
      </c>
      <c r="C27" s="13" t="s">
        <v>8</v>
      </c>
      <c r="D27" s="23">
        <v>36204.54</v>
      </c>
      <c r="E27" s="23">
        <f t="shared" si="3"/>
        <v>27153.410000000003</v>
      </c>
      <c r="F27" s="25">
        <v>9051.1299999999992</v>
      </c>
      <c r="G27" s="23">
        <f t="shared" si="0"/>
        <v>9051.1299999999992</v>
      </c>
      <c r="H27" s="12">
        <f t="shared" si="1"/>
        <v>2686.8200000000015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2"/>
        <v>45685</v>
      </c>
      <c r="C28" s="13" t="s">
        <v>8</v>
      </c>
      <c r="D28" s="23">
        <v>73705.399999999994</v>
      </c>
      <c r="E28" s="23">
        <f t="shared" si="3"/>
        <v>55279.079999999994</v>
      </c>
      <c r="F28" s="25">
        <v>18426.32</v>
      </c>
      <c r="G28" s="23">
        <f t="shared" si="0"/>
        <v>18426.32</v>
      </c>
      <c r="H28" s="12">
        <f t="shared" si="1"/>
        <v>2686.8199999999997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2"/>
        <v>45686</v>
      </c>
      <c r="C29" s="13" t="s">
        <v>8</v>
      </c>
      <c r="D29" s="23">
        <v>66267.89</v>
      </c>
      <c r="E29" s="23">
        <f>D29-F29</f>
        <v>49700.97</v>
      </c>
      <c r="F29" s="25">
        <v>16566.919999999998</v>
      </c>
      <c r="G29" s="23">
        <f>F29</f>
        <v>16566.919999999998</v>
      </c>
      <c r="H29" s="12">
        <f>H28+F29-G29</f>
        <v>2686.8199999999997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2"/>
      <c r="B30" s="22">
        <f t="shared" si="2"/>
        <v>45687</v>
      </c>
      <c r="C30" s="13" t="s">
        <v>8</v>
      </c>
      <c r="D30" s="23">
        <v>95740.479999999996</v>
      </c>
      <c r="E30" s="23">
        <f t="shared" si="3"/>
        <v>71805.39</v>
      </c>
      <c r="F30" s="25">
        <v>23935.09</v>
      </c>
      <c r="G30" s="23">
        <f>F30</f>
        <v>23935.09</v>
      </c>
      <c r="H30" s="12">
        <f>H29+F30-G30</f>
        <v>2686.8199999999997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x14ac:dyDescent="0.25">
      <c r="A31" s="32"/>
      <c r="B31" s="22">
        <f t="shared" si="2"/>
        <v>45688</v>
      </c>
      <c r="C31" s="13" t="s">
        <v>8</v>
      </c>
      <c r="D31" s="23">
        <v>193632.51</v>
      </c>
      <c r="E31" s="23">
        <f t="shared" si="3"/>
        <v>145224.53</v>
      </c>
      <c r="F31" s="25">
        <v>48407.98</v>
      </c>
      <c r="G31" s="23">
        <f>F31</f>
        <v>48407.98</v>
      </c>
      <c r="H31" s="12">
        <f>H30+F31-G31</f>
        <v>2686.8199999999997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 x14ac:dyDescent="0.25">
      <c r="A32" s="2"/>
      <c r="B32" s="18" t="s">
        <v>9</v>
      </c>
      <c r="C32" s="19"/>
      <c r="D32" s="20">
        <f>SUM(D10:D31)</f>
        <v>997136.71000000008</v>
      </c>
      <c r="E32" s="20">
        <f>SUM(E10:E31)</f>
        <v>747853.16</v>
      </c>
      <c r="F32" s="20">
        <f>SUM(F10:F31)</f>
        <v>249283.55</v>
      </c>
      <c r="G32" s="14">
        <f>SUM(G10:G31)</f>
        <v>249283.55</v>
      </c>
      <c r="H32" s="12">
        <f>+H31</f>
        <v>2686.8199999999997</v>
      </c>
      <c r="I32" s="1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9"/>
      <c r="B33" s="86" t="s">
        <v>10</v>
      </c>
      <c r="C33" s="87"/>
      <c r="D33" s="87"/>
      <c r="E33" s="87"/>
      <c r="F33" s="87"/>
      <c r="G33" s="87"/>
      <c r="H33" s="88"/>
      <c r="I33" s="3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9"/>
      <c r="B34" s="73" t="s">
        <v>91</v>
      </c>
      <c r="C34" s="74"/>
      <c r="D34" s="74"/>
      <c r="E34" s="74"/>
      <c r="F34" s="74"/>
      <c r="G34" s="74"/>
      <c r="H34" s="75"/>
      <c r="I34" s="3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thickBot="1" x14ac:dyDescent="0.3">
      <c r="A35" s="29"/>
      <c r="B35" s="76"/>
      <c r="C35" s="77"/>
      <c r="D35" s="77"/>
      <c r="E35" s="77"/>
      <c r="F35" s="77"/>
      <c r="G35" s="77"/>
      <c r="H35" s="78"/>
      <c r="I35" s="30"/>
      <c r="J35" s="2"/>
      <c r="K35" s="1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5">
    <mergeCell ref="B35:H35"/>
    <mergeCell ref="B7:H7"/>
    <mergeCell ref="B9:G9"/>
    <mergeCell ref="B33:H33"/>
    <mergeCell ref="B34:H34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1"/>
  <sheetViews>
    <sheetView topLeftCell="A7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92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97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93</v>
      </c>
      <c r="C9" s="63"/>
      <c r="D9" s="63"/>
      <c r="E9" s="63"/>
      <c r="F9" s="63"/>
      <c r="G9" s="63"/>
      <c r="H9" s="12">
        <v>2686.82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45691</v>
      </c>
      <c r="C10" s="13" t="s">
        <v>8</v>
      </c>
      <c r="D10" s="23">
        <v>455702.23</v>
      </c>
      <c r="E10" s="23">
        <f>D10-F10</f>
        <v>341776.75</v>
      </c>
      <c r="F10" s="23">
        <v>113925.48</v>
      </c>
      <c r="G10" s="23">
        <f t="shared" ref="G10:G28" si="0">F10</f>
        <v>113925.48</v>
      </c>
      <c r="H10" s="12">
        <f t="shared" ref="H10:H28" si="1">H9+F10-G10</f>
        <v>2686.820000000007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1" si="2">B10+(MOD(B10,7)=6)*2+1</f>
        <v>45692</v>
      </c>
      <c r="C11" s="13" t="s">
        <v>8</v>
      </c>
      <c r="D11" s="23">
        <v>18702.27</v>
      </c>
      <c r="E11" s="23">
        <f t="shared" ref="E11:E31" si="3">D11-F11</f>
        <v>14026.73</v>
      </c>
      <c r="F11" s="24">
        <v>4675.54</v>
      </c>
      <c r="G11" s="23">
        <f t="shared" si="0"/>
        <v>4675.54</v>
      </c>
      <c r="H11" s="12">
        <f t="shared" si="1"/>
        <v>2686.820000000007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2"/>
        <v>45693</v>
      </c>
      <c r="C12" s="13" t="s">
        <v>8</v>
      </c>
      <c r="D12" s="23">
        <v>7260.37</v>
      </c>
      <c r="E12" s="23">
        <f t="shared" si="3"/>
        <v>5445.29</v>
      </c>
      <c r="F12" s="24">
        <v>1815.08</v>
      </c>
      <c r="G12" s="23">
        <f t="shared" si="0"/>
        <v>1815.08</v>
      </c>
      <c r="H12" s="12">
        <f t="shared" si="1"/>
        <v>2686.820000000007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2"/>
        <v>45694</v>
      </c>
      <c r="C13" s="13" t="s">
        <v>8</v>
      </c>
      <c r="D13" s="23">
        <v>10567.44</v>
      </c>
      <c r="E13" s="23">
        <f t="shared" si="3"/>
        <v>7925.6</v>
      </c>
      <c r="F13" s="24">
        <v>2641.84</v>
      </c>
      <c r="G13" s="23">
        <f t="shared" si="0"/>
        <v>2641.84</v>
      </c>
      <c r="H13" s="12">
        <f t="shared" si="1"/>
        <v>2686.820000000007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2"/>
        <v>45695</v>
      </c>
      <c r="C14" s="13" t="s">
        <v>8</v>
      </c>
      <c r="D14" s="23">
        <v>11807.35</v>
      </c>
      <c r="E14" s="23">
        <f t="shared" si="3"/>
        <v>8855.52</v>
      </c>
      <c r="F14" s="24">
        <v>2951.83</v>
      </c>
      <c r="G14" s="23">
        <f t="shared" si="0"/>
        <v>2951.83</v>
      </c>
      <c r="H14" s="12">
        <f t="shared" si="1"/>
        <v>2686.820000000007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2"/>
        <v>45698</v>
      </c>
      <c r="C15" s="13" t="s">
        <v>8</v>
      </c>
      <c r="D15" s="23">
        <v>12963.29</v>
      </c>
      <c r="E15" s="23">
        <f t="shared" si="3"/>
        <v>9722.4700000000012</v>
      </c>
      <c r="F15" s="25">
        <v>3240.82</v>
      </c>
      <c r="G15" s="23">
        <f t="shared" si="0"/>
        <v>3240.82</v>
      </c>
      <c r="H15" s="12">
        <f t="shared" si="1"/>
        <v>2686.8200000000065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2"/>
        <v>45699</v>
      </c>
      <c r="C16" s="13" t="s">
        <v>8</v>
      </c>
      <c r="D16" s="23">
        <v>14783.7</v>
      </c>
      <c r="E16" s="23">
        <f t="shared" si="3"/>
        <v>11087.810000000001</v>
      </c>
      <c r="F16" s="25">
        <v>3695.89</v>
      </c>
      <c r="G16" s="23">
        <f t="shared" si="0"/>
        <v>3695.89</v>
      </c>
      <c r="H16" s="12">
        <f t="shared" si="1"/>
        <v>2686.8200000000065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2"/>
        <v>45700</v>
      </c>
      <c r="C17" s="13" t="s">
        <v>8</v>
      </c>
      <c r="D17" s="23">
        <v>14802.15</v>
      </c>
      <c r="E17" s="23">
        <f t="shared" si="3"/>
        <v>11101.64</v>
      </c>
      <c r="F17" s="25">
        <v>3700.51</v>
      </c>
      <c r="G17" s="23">
        <f t="shared" si="0"/>
        <v>3700.51</v>
      </c>
      <c r="H17" s="12">
        <f t="shared" si="1"/>
        <v>2686.820000000007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2"/>
        <v>45701</v>
      </c>
      <c r="C18" s="13" t="s">
        <v>8</v>
      </c>
      <c r="D18" s="23">
        <v>7332.99</v>
      </c>
      <c r="E18" s="23">
        <f t="shared" si="3"/>
        <v>5499.75</v>
      </c>
      <c r="F18" s="25">
        <v>1833.24</v>
      </c>
      <c r="G18" s="23">
        <f t="shared" si="0"/>
        <v>1833.24</v>
      </c>
      <c r="H18" s="12">
        <f t="shared" si="1"/>
        <v>2686.820000000007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2"/>
        <v>45702</v>
      </c>
      <c r="C19" s="13" t="s">
        <v>8</v>
      </c>
      <c r="D19" s="23">
        <v>10134.879999999999</v>
      </c>
      <c r="E19" s="23">
        <f t="shared" si="3"/>
        <v>7601.1699999999992</v>
      </c>
      <c r="F19" s="25">
        <v>2533.71</v>
      </c>
      <c r="G19" s="23">
        <f t="shared" si="0"/>
        <v>2533.71</v>
      </c>
      <c r="H19" s="12">
        <f t="shared" si="1"/>
        <v>2686.820000000007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2"/>
        <v>45705</v>
      </c>
      <c r="C20" s="13" t="s">
        <v>8</v>
      </c>
      <c r="D20" s="23">
        <v>11538.95</v>
      </c>
      <c r="E20" s="23">
        <f t="shared" si="3"/>
        <v>8654.2200000000012</v>
      </c>
      <c r="F20" s="25">
        <v>2884.73</v>
      </c>
      <c r="G20" s="23">
        <f t="shared" si="0"/>
        <v>2884.73</v>
      </c>
      <c r="H20" s="12">
        <f t="shared" si="1"/>
        <v>2686.8200000000065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45706</v>
      </c>
      <c r="C21" s="13" t="s">
        <v>8</v>
      </c>
      <c r="D21" s="23">
        <v>11693.86</v>
      </c>
      <c r="E21" s="23">
        <f t="shared" si="3"/>
        <v>8770.41</v>
      </c>
      <c r="F21" s="25">
        <v>2923.45</v>
      </c>
      <c r="G21" s="23">
        <f t="shared" si="0"/>
        <v>2923.45</v>
      </c>
      <c r="H21" s="12">
        <f>H20+F21-G21</f>
        <v>2686.8200000000061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2"/>
        <v>45707</v>
      </c>
      <c r="C22" s="13" t="s">
        <v>8</v>
      </c>
      <c r="D22" s="23">
        <v>5485.48</v>
      </c>
      <c r="E22" s="23">
        <f t="shared" si="3"/>
        <v>4114.1299999999992</v>
      </c>
      <c r="F22" s="25">
        <v>1371.35</v>
      </c>
      <c r="G22" s="23">
        <f t="shared" si="0"/>
        <v>1371.35</v>
      </c>
      <c r="H22" s="12">
        <f t="shared" si="1"/>
        <v>2686.8200000000061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 t="shared" si="2"/>
        <v>45708</v>
      </c>
      <c r="C23" s="13" t="s">
        <v>8</v>
      </c>
      <c r="D23" s="23">
        <v>7141.43</v>
      </c>
      <c r="E23" s="23">
        <f t="shared" si="3"/>
        <v>5356.08</v>
      </c>
      <c r="F23" s="25">
        <v>1785.35</v>
      </c>
      <c r="G23" s="23">
        <f t="shared" si="0"/>
        <v>1785.35</v>
      </c>
      <c r="H23" s="12">
        <f t="shared" si="1"/>
        <v>2686.8200000000056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2"/>
        <v>45709</v>
      </c>
      <c r="C24" s="13" t="s">
        <v>8</v>
      </c>
      <c r="D24" s="23">
        <v>9425.8700000000008</v>
      </c>
      <c r="E24" s="23">
        <f t="shared" si="3"/>
        <v>7069.420000000001</v>
      </c>
      <c r="F24" s="25">
        <v>2356.4499999999998</v>
      </c>
      <c r="G24" s="23">
        <f t="shared" si="0"/>
        <v>2356.4499999999998</v>
      </c>
      <c r="H24" s="12">
        <f t="shared" si="1"/>
        <v>2686.8200000000061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2"/>
        <v>45712</v>
      </c>
      <c r="C25" s="13" t="s">
        <v>8</v>
      </c>
      <c r="D25" s="23">
        <v>8377.14</v>
      </c>
      <c r="E25" s="23">
        <f t="shared" si="3"/>
        <v>6282.8599999999988</v>
      </c>
      <c r="F25" s="25">
        <v>2094.2800000000002</v>
      </c>
      <c r="G25" s="23">
        <f t="shared" si="0"/>
        <v>2094.2800000000002</v>
      </c>
      <c r="H25" s="12">
        <f t="shared" si="1"/>
        <v>2686.8200000000056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2"/>
        <v>45713</v>
      </c>
      <c r="C26" s="13" t="s">
        <v>8</v>
      </c>
      <c r="D26" s="23">
        <v>7325.68</v>
      </c>
      <c r="E26" s="23">
        <f t="shared" si="3"/>
        <v>5494.27</v>
      </c>
      <c r="F26" s="25">
        <v>1831.41</v>
      </c>
      <c r="G26" s="23">
        <f t="shared" si="0"/>
        <v>1831.41</v>
      </c>
      <c r="H26" s="12">
        <f t="shared" si="1"/>
        <v>2686.8200000000061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2">
        <f t="shared" si="2"/>
        <v>45714</v>
      </c>
      <c r="C27" s="13" t="s">
        <v>8</v>
      </c>
      <c r="D27" s="23">
        <v>10920.94</v>
      </c>
      <c r="E27" s="23">
        <f t="shared" si="3"/>
        <v>8190.7100000000009</v>
      </c>
      <c r="F27" s="25">
        <v>2730.23</v>
      </c>
      <c r="G27" s="23">
        <f t="shared" si="0"/>
        <v>2730.23</v>
      </c>
      <c r="H27" s="12">
        <f t="shared" si="1"/>
        <v>2686.8200000000065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2"/>
        <v>45715</v>
      </c>
      <c r="C28" s="13" t="s">
        <v>8</v>
      </c>
      <c r="D28" s="23">
        <v>8786.3700000000008</v>
      </c>
      <c r="E28" s="23">
        <f t="shared" si="3"/>
        <v>6589.7900000000009</v>
      </c>
      <c r="F28" s="25">
        <v>2196.58</v>
      </c>
      <c r="G28" s="23">
        <f t="shared" si="0"/>
        <v>2196.58</v>
      </c>
      <c r="H28" s="12">
        <f t="shared" si="1"/>
        <v>2686.820000000007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2"/>
        <v>45716</v>
      </c>
      <c r="C29" s="13" t="s">
        <v>8</v>
      </c>
      <c r="D29" s="23">
        <v>24278.98</v>
      </c>
      <c r="E29" s="23">
        <f>D29-F29</f>
        <v>18209.259999999998</v>
      </c>
      <c r="F29" s="25">
        <v>6069.72</v>
      </c>
      <c r="G29" s="23">
        <f>F29</f>
        <v>6069.72</v>
      </c>
      <c r="H29" s="12">
        <f>H28+F29-G29</f>
        <v>2686.8200000000079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2" t="s">
        <v>12</v>
      </c>
      <c r="B30" s="22">
        <v>45705</v>
      </c>
      <c r="C30" s="13" t="s">
        <v>11</v>
      </c>
      <c r="D30" s="23">
        <v>0</v>
      </c>
      <c r="E30" s="23">
        <f t="shared" si="3"/>
        <v>0</v>
      </c>
      <c r="F30" s="25">
        <v>0</v>
      </c>
      <c r="G30" s="23">
        <v>2686.82</v>
      </c>
      <c r="H30" s="12">
        <f>H29+F30-G30</f>
        <v>7.73070496506989E-12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x14ac:dyDescent="0.25">
      <c r="A31" s="32" t="s">
        <v>13</v>
      </c>
      <c r="B31" s="22">
        <f t="shared" si="2"/>
        <v>45706</v>
      </c>
      <c r="C31" s="13" t="s">
        <v>11</v>
      </c>
      <c r="D31" s="23">
        <v>6160.9</v>
      </c>
      <c r="E31" s="23">
        <f t="shared" si="3"/>
        <v>4620.6749999999993</v>
      </c>
      <c r="F31" s="25">
        <f>D31*0.25</f>
        <v>1540.2249999999999</v>
      </c>
      <c r="G31" s="23">
        <v>0</v>
      </c>
      <c r="H31" s="12">
        <f>H30+F31-G31</f>
        <v>1540.2250000000076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 x14ac:dyDescent="0.25">
      <c r="A32" s="2"/>
      <c r="B32" s="18" t="s">
        <v>9</v>
      </c>
      <c r="C32" s="19"/>
      <c r="D32" s="20">
        <f>SUM(D10:D31)</f>
        <v>675192.2699999999</v>
      </c>
      <c r="E32" s="20">
        <f>SUM(E10:E31)</f>
        <v>506394.55499999993</v>
      </c>
      <c r="F32" s="20">
        <f>SUM(F10:F31)</f>
        <v>168797.71500000005</v>
      </c>
      <c r="G32" s="14">
        <f>SUM(G10:G31)</f>
        <v>169944.31000000006</v>
      </c>
      <c r="H32" s="12">
        <f>+H31</f>
        <v>1540.2250000000076</v>
      </c>
      <c r="I32" s="1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9"/>
      <c r="B33" s="86" t="s">
        <v>10</v>
      </c>
      <c r="C33" s="87"/>
      <c r="D33" s="87"/>
      <c r="E33" s="87"/>
      <c r="F33" s="87"/>
      <c r="G33" s="87"/>
      <c r="H33" s="88"/>
      <c r="I33" s="3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9"/>
      <c r="B34" s="73" t="s">
        <v>94</v>
      </c>
      <c r="C34" s="74"/>
      <c r="D34" s="74"/>
      <c r="E34" s="74"/>
      <c r="F34" s="74"/>
      <c r="G34" s="74"/>
      <c r="H34" s="75"/>
      <c r="I34" s="3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0.75" customHeight="1" x14ac:dyDescent="0.25">
      <c r="A35" s="31"/>
      <c r="B35" s="82" t="s">
        <v>95</v>
      </c>
      <c r="C35" s="83"/>
      <c r="D35" s="83"/>
      <c r="E35" s="83"/>
      <c r="F35" s="83"/>
      <c r="G35" s="83"/>
      <c r="H35" s="84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29.25" customHeight="1" x14ac:dyDescent="0.25">
      <c r="A36" s="31"/>
      <c r="B36" s="82" t="s">
        <v>96</v>
      </c>
      <c r="C36" s="74"/>
      <c r="D36" s="74"/>
      <c r="E36" s="74"/>
      <c r="F36" s="74"/>
      <c r="G36" s="74"/>
      <c r="H36" s="75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.75" thickBot="1" x14ac:dyDescent="0.3">
      <c r="A37" s="29"/>
      <c r="B37" s="76"/>
      <c r="C37" s="77"/>
      <c r="D37" s="77"/>
      <c r="E37" s="77"/>
      <c r="F37" s="77"/>
      <c r="G37" s="77"/>
      <c r="H37" s="78"/>
      <c r="I37" s="30"/>
      <c r="J37" s="2"/>
      <c r="K37" s="1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7">
    <mergeCell ref="B7:H7"/>
    <mergeCell ref="B9:G9"/>
    <mergeCell ref="B33:H33"/>
    <mergeCell ref="B34:H34"/>
    <mergeCell ref="B37:H37"/>
    <mergeCell ref="B36:H36"/>
    <mergeCell ref="B35:H35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topLeftCell="A7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99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98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100</v>
      </c>
      <c r="C9" s="63"/>
      <c r="D9" s="63"/>
      <c r="E9" s="63"/>
      <c r="F9" s="63"/>
      <c r="G9" s="63"/>
      <c r="H9" s="12">
        <f>+'02-2025'!H32</f>
        <v>1540.2250000000076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45721</v>
      </c>
      <c r="C10" s="13" t="s">
        <v>8</v>
      </c>
      <c r="D10" s="23">
        <f>61465.23+2248</f>
        <v>63713.23</v>
      </c>
      <c r="E10" s="23">
        <f>D10-F10</f>
        <v>47784.922500000001</v>
      </c>
      <c r="F10" s="23">
        <f>+D10*0.25</f>
        <v>15928.307500000001</v>
      </c>
      <c r="G10" s="23">
        <f>15366.24+562</f>
        <v>15928.24</v>
      </c>
      <c r="H10" s="12">
        <f>H9+F10-G10</f>
        <v>1540.2925000000087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28" si="0">B10+(MOD(B10,7)=6)*2+1</f>
        <v>45722</v>
      </c>
      <c r="C11" s="13" t="s">
        <v>8</v>
      </c>
      <c r="D11" s="23">
        <v>8829.34</v>
      </c>
      <c r="E11" s="23">
        <f t="shared" ref="E11:E30" si="1">D11-F11</f>
        <v>6622.0050000000001</v>
      </c>
      <c r="F11" s="23">
        <f t="shared" ref="F11:F30" si="2">+D11*0.25</f>
        <v>2207.335</v>
      </c>
      <c r="G11" s="23">
        <v>2207.3200000000002</v>
      </c>
      <c r="H11" s="12">
        <f t="shared" ref="H11:H28" si="3">H10+F11-G11</f>
        <v>1540.3075000000085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45723</v>
      </c>
      <c r="C12" s="13" t="s">
        <v>8</v>
      </c>
      <c r="D12" s="23">
        <v>10724.17</v>
      </c>
      <c r="E12" s="23">
        <f t="shared" si="1"/>
        <v>8043.1275000000005</v>
      </c>
      <c r="F12" s="23">
        <f t="shared" si="2"/>
        <v>2681.0425</v>
      </c>
      <c r="G12" s="23">
        <f>1774.23+906.8</f>
        <v>2681.0299999999997</v>
      </c>
      <c r="H12" s="12">
        <f t="shared" si="3"/>
        <v>1540.3200000000088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45726</v>
      </c>
      <c r="C13" s="13" t="s">
        <v>8</v>
      </c>
      <c r="D13" s="23">
        <v>5275.19</v>
      </c>
      <c r="E13" s="23">
        <f t="shared" si="1"/>
        <v>3956.3924999999999</v>
      </c>
      <c r="F13" s="23">
        <f t="shared" si="2"/>
        <v>1318.7974999999999</v>
      </c>
      <c r="G13" s="23">
        <f>880.64+438.15</f>
        <v>1318.79</v>
      </c>
      <c r="H13" s="12">
        <f t="shared" si="3"/>
        <v>1540.3275000000085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45727</v>
      </c>
      <c r="C14" s="13" t="s">
        <v>8</v>
      </c>
      <c r="D14" s="23">
        <v>10858.62</v>
      </c>
      <c r="E14" s="23">
        <f t="shared" si="1"/>
        <v>8143.9650000000001</v>
      </c>
      <c r="F14" s="23">
        <f t="shared" si="2"/>
        <v>2714.6550000000002</v>
      </c>
      <c r="G14" s="23">
        <f>2249.99+464.65</f>
        <v>2714.64</v>
      </c>
      <c r="H14" s="12">
        <f t="shared" si="3"/>
        <v>1540.3425000000093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45728</v>
      </c>
      <c r="C15" s="13" t="s">
        <v>8</v>
      </c>
      <c r="D15" s="23">
        <v>3844.36</v>
      </c>
      <c r="E15" s="23">
        <f t="shared" si="1"/>
        <v>2883.27</v>
      </c>
      <c r="F15" s="23">
        <f t="shared" si="2"/>
        <v>961.09</v>
      </c>
      <c r="G15" s="23">
        <f>580.38+380.7</f>
        <v>961.07999999999993</v>
      </c>
      <c r="H15" s="12">
        <f t="shared" si="3"/>
        <v>1540.3525000000095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45729</v>
      </c>
      <c r="C16" s="13" t="s">
        <v>8</v>
      </c>
      <c r="D16" s="23">
        <v>3300.04</v>
      </c>
      <c r="E16" s="23">
        <f t="shared" si="1"/>
        <v>2475.0299999999997</v>
      </c>
      <c r="F16" s="23">
        <f t="shared" si="2"/>
        <v>825.01</v>
      </c>
      <c r="G16" s="23">
        <f>667.85+157.15</f>
        <v>825</v>
      </c>
      <c r="H16" s="12">
        <f t="shared" si="3"/>
        <v>1540.3625000000093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0"/>
        <v>45730</v>
      </c>
      <c r="C17" s="13" t="s">
        <v>8</v>
      </c>
      <c r="D17" s="23">
        <v>4415.12</v>
      </c>
      <c r="E17" s="23">
        <f t="shared" si="1"/>
        <v>3311.34</v>
      </c>
      <c r="F17" s="23">
        <f t="shared" si="2"/>
        <v>1103.78</v>
      </c>
      <c r="G17" s="23">
        <f>811.12+292.65</f>
        <v>1103.77</v>
      </c>
      <c r="H17" s="12">
        <f t="shared" si="3"/>
        <v>1540.372500000009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0"/>
        <v>45733</v>
      </c>
      <c r="C18" s="13" t="s">
        <v>8</v>
      </c>
      <c r="D18" s="23">
        <v>8402.9</v>
      </c>
      <c r="E18" s="23">
        <f t="shared" si="1"/>
        <v>6302.1749999999993</v>
      </c>
      <c r="F18" s="23">
        <f t="shared" si="2"/>
        <v>2100.7249999999999</v>
      </c>
      <c r="G18" s="23">
        <f>1414.92+690.3</f>
        <v>2105.2200000000003</v>
      </c>
      <c r="H18" s="12">
        <f t="shared" si="3"/>
        <v>1535.8775000000087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0"/>
        <v>45734</v>
      </c>
      <c r="C19" s="13" t="s">
        <v>8</v>
      </c>
      <c r="D19" s="23">
        <v>6743.68</v>
      </c>
      <c r="E19" s="23">
        <f t="shared" si="1"/>
        <v>5057.76</v>
      </c>
      <c r="F19" s="23">
        <f t="shared" si="2"/>
        <v>1685.92</v>
      </c>
      <c r="G19" s="23">
        <f>1337.57+348.35</f>
        <v>1685.92</v>
      </c>
      <c r="H19" s="12">
        <f t="shared" si="3"/>
        <v>1535.8775000000087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0"/>
        <v>45735</v>
      </c>
      <c r="C20" s="13" t="s">
        <v>8</v>
      </c>
      <c r="D20" s="23">
        <v>9192.2099999999991</v>
      </c>
      <c r="E20" s="23">
        <f t="shared" si="1"/>
        <v>6894.1574999999993</v>
      </c>
      <c r="F20" s="23">
        <f t="shared" si="2"/>
        <v>2298.0524999999998</v>
      </c>
      <c r="G20" s="23">
        <f>1475.46+822.58</f>
        <v>2298.04</v>
      </c>
      <c r="H20" s="12">
        <f t="shared" si="3"/>
        <v>1535.8900000000085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45736</v>
      </c>
      <c r="C21" s="13" t="s">
        <v>8</v>
      </c>
      <c r="D21" s="23">
        <v>8947.2099999999991</v>
      </c>
      <c r="E21" s="23">
        <f t="shared" si="1"/>
        <v>6710.4074999999993</v>
      </c>
      <c r="F21" s="23">
        <f t="shared" si="2"/>
        <v>2236.8024999999998</v>
      </c>
      <c r="G21" s="23">
        <f>1592.05+644.75</f>
        <v>2236.8000000000002</v>
      </c>
      <c r="H21" s="12">
        <f>H20+F21-G21</f>
        <v>1535.8925000000081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0"/>
        <v>45737</v>
      </c>
      <c r="C22" s="13" t="s">
        <v>8</v>
      </c>
      <c r="D22" s="23">
        <v>3440</v>
      </c>
      <c r="E22" s="23">
        <f t="shared" si="1"/>
        <v>2580</v>
      </c>
      <c r="F22" s="23">
        <f t="shared" si="2"/>
        <v>860</v>
      </c>
      <c r="G22" s="23">
        <f>602.3+257.7</f>
        <v>860</v>
      </c>
      <c r="H22" s="12">
        <f t="shared" si="3"/>
        <v>1535.8925000000081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 t="shared" si="0"/>
        <v>45740</v>
      </c>
      <c r="C23" s="13" t="s">
        <v>8</v>
      </c>
      <c r="D23" s="23">
        <v>6231.4</v>
      </c>
      <c r="E23" s="23">
        <f t="shared" si="1"/>
        <v>4673.5499999999993</v>
      </c>
      <c r="F23" s="23">
        <f t="shared" si="2"/>
        <v>1557.85</v>
      </c>
      <c r="G23" s="23">
        <f>1159.1+398.75</f>
        <v>1557.85</v>
      </c>
      <c r="H23" s="12">
        <f t="shared" si="3"/>
        <v>1535.8925000000081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0"/>
        <v>45741</v>
      </c>
      <c r="C24" s="13" t="s">
        <v>8</v>
      </c>
      <c r="D24" s="23">
        <v>4723.83</v>
      </c>
      <c r="E24" s="23">
        <f t="shared" si="1"/>
        <v>3542.8724999999999</v>
      </c>
      <c r="F24" s="23">
        <f t="shared" si="2"/>
        <v>1180.9575</v>
      </c>
      <c r="G24" s="23">
        <f>911.55+269.4</f>
        <v>1180.9499999999998</v>
      </c>
      <c r="H24" s="12">
        <f t="shared" si="3"/>
        <v>1535.9000000000083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0"/>
        <v>45742</v>
      </c>
      <c r="C25" s="13" t="s">
        <v>8</v>
      </c>
      <c r="D25" s="23">
        <v>4838.79</v>
      </c>
      <c r="E25" s="23">
        <f t="shared" si="1"/>
        <v>3629.0924999999997</v>
      </c>
      <c r="F25" s="23">
        <f t="shared" si="2"/>
        <v>1209.6975</v>
      </c>
      <c r="G25" s="23">
        <f>987.23+222.45</f>
        <v>1209.68</v>
      </c>
      <c r="H25" s="12">
        <f t="shared" si="3"/>
        <v>1535.917500000008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0"/>
        <v>45743</v>
      </c>
      <c r="C26" s="13" t="s">
        <v>8</v>
      </c>
      <c r="D26" s="23">
        <v>7905.53</v>
      </c>
      <c r="E26" s="23">
        <f t="shared" si="1"/>
        <v>5929.1475</v>
      </c>
      <c r="F26" s="23">
        <f t="shared" si="2"/>
        <v>1976.3824999999999</v>
      </c>
      <c r="G26" s="23">
        <f>1431.07+545.3</f>
        <v>1976.37</v>
      </c>
      <c r="H26" s="12">
        <f t="shared" si="3"/>
        <v>1535.930000000008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2">
        <f t="shared" si="0"/>
        <v>45744</v>
      </c>
      <c r="C27" s="13" t="s">
        <v>8</v>
      </c>
      <c r="D27" s="23">
        <v>8031.48</v>
      </c>
      <c r="E27" s="23">
        <f t="shared" si="1"/>
        <v>6023.61</v>
      </c>
      <c r="F27" s="23">
        <f t="shared" si="2"/>
        <v>2007.87</v>
      </c>
      <c r="G27" s="23">
        <f>1427.74+580.1</f>
        <v>2007.8400000000001</v>
      </c>
      <c r="H27" s="12">
        <f t="shared" si="3"/>
        <v>1535.9600000000078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0"/>
        <v>45747</v>
      </c>
      <c r="C28" s="13" t="s">
        <v>8</v>
      </c>
      <c r="D28" s="23">
        <v>13595.32</v>
      </c>
      <c r="E28" s="23">
        <f t="shared" si="1"/>
        <v>10196.49</v>
      </c>
      <c r="F28" s="23">
        <f t="shared" si="2"/>
        <v>3398.83</v>
      </c>
      <c r="G28" s="23">
        <f>1941.08+1457.7</f>
        <v>3398.7799999999997</v>
      </c>
      <c r="H28" s="12">
        <f t="shared" si="3"/>
        <v>1536.0100000000084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31"/>
      <c r="B29" s="37">
        <v>45735</v>
      </c>
      <c r="C29" s="13" t="s">
        <v>11</v>
      </c>
      <c r="D29" s="38">
        <v>0</v>
      </c>
      <c r="E29" s="23">
        <f t="shared" si="1"/>
        <v>0</v>
      </c>
      <c r="F29" s="23">
        <v>0</v>
      </c>
      <c r="G29" s="23">
        <v>1540.23</v>
      </c>
      <c r="H29" s="12">
        <f>G29-H28</f>
        <v>4.2199999999916145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 x14ac:dyDescent="0.25">
      <c r="A30" s="32" t="s">
        <v>12</v>
      </c>
      <c r="B30" s="37">
        <v>45747</v>
      </c>
      <c r="C30" s="13" t="s">
        <v>11</v>
      </c>
      <c r="D30" s="38">
        <v>32112.560000000001</v>
      </c>
      <c r="E30" s="23">
        <f t="shared" si="1"/>
        <v>24084.420000000002</v>
      </c>
      <c r="F30" s="23">
        <f t="shared" si="2"/>
        <v>8028.14</v>
      </c>
      <c r="G30" s="23">
        <v>0</v>
      </c>
      <c r="H30" s="12">
        <f>F30</f>
        <v>8028.14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2"/>
      <c r="B31" s="18" t="s">
        <v>9</v>
      </c>
      <c r="C31" s="19"/>
      <c r="D31" s="20">
        <f>SUM(D10:D30)</f>
        <v>225124.97999999998</v>
      </c>
      <c r="E31" s="20">
        <f>SUM(E10:E30)</f>
        <v>168843.73499999999</v>
      </c>
      <c r="F31" s="20">
        <f>SUM(F10:F30)</f>
        <v>56281.244999999995</v>
      </c>
      <c r="G31" s="14">
        <f>SUM(G10:G30)</f>
        <v>49797.55000000001</v>
      </c>
      <c r="H31" s="12">
        <f>+H30</f>
        <v>8028.14</v>
      </c>
      <c r="I31" s="1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9"/>
      <c r="B32" s="86" t="s">
        <v>10</v>
      </c>
      <c r="C32" s="87"/>
      <c r="D32" s="87"/>
      <c r="E32" s="87"/>
      <c r="F32" s="87"/>
      <c r="G32" s="87"/>
      <c r="H32" s="88"/>
      <c r="I32" s="3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9"/>
      <c r="B33" s="73" t="s">
        <v>102</v>
      </c>
      <c r="C33" s="74"/>
      <c r="D33" s="74"/>
      <c r="E33" s="74"/>
      <c r="F33" s="74"/>
      <c r="G33" s="74"/>
      <c r="H33" s="75"/>
      <c r="I33" s="3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31"/>
      <c r="B34" s="82" t="s">
        <v>101</v>
      </c>
      <c r="C34" s="71"/>
      <c r="D34" s="71"/>
      <c r="E34" s="71"/>
      <c r="F34" s="71"/>
      <c r="G34" s="71"/>
      <c r="H34" s="89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5.75" customHeight="1" x14ac:dyDescent="0.25">
      <c r="A35" s="31"/>
      <c r="B35" s="82"/>
      <c r="C35" s="71"/>
      <c r="D35" s="71"/>
      <c r="E35" s="71"/>
      <c r="F35" s="71"/>
      <c r="G35" s="71"/>
      <c r="H35" s="89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thickBot="1" x14ac:dyDescent="0.3">
      <c r="A36" s="29"/>
      <c r="B36" s="76"/>
      <c r="C36" s="77"/>
      <c r="D36" s="77"/>
      <c r="E36" s="77"/>
      <c r="F36" s="77"/>
      <c r="G36" s="77"/>
      <c r="H36" s="78"/>
      <c r="I36" s="30"/>
      <c r="J36" s="2"/>
      <c r="K36" s="1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31"/>
      <c r="C37" s="31"/>
      <c r="D37" s="31"/>
      <c r="E37" s="31"/>
      <c r="F37" s="31"/>
      <c r="G37" s="31"/>
      <c r="H37" s="31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B36:H36"/>
    <mergeCell ref="B7:H7"/>
    <mergeCell ref="B9:G9"/>
    <mergeCell ref="B32:H32"/>
    <mergeCell ref="B33:H33"/>
    <mergeCell ref="B34:H35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2"/>
  <sheetViews>
    <sheetView topLeftCell="A7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103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104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105</v>
      </c>
      <c r="C9" s="63"/>
      <c r="D9" s="63"/>
      <c r="E9" s="63"/>
      <c r="F9" s="63"/>
      <c r="G9" s="63"/>
      <c r="H9" s="12">
        <f>+'03-2025'!H31</f>
        <v>8028.14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45748</v>
      </c>
      <c r="C10" s="13" t="s">
        <v>8</v>
      </c>
      <c r="D10" s="23">
        <f>45887.69+1897.4</f>
        <v>47785.090000000004</v>
      </c>
      <c r="E10" s="23">
        <f>D10-F10</f>
        <v>35838.817500000005</v>
      </c>
      <c r="F10" s="23">
        <f>+D10*0.25</f>
        <v>11946.272500000001</v>
      </c>
      <c r="G10" s="23">
        <f>11471.82+474.35</f>
        <v>11946.17</v>
      </c>
      <c r="H10" s="12">
        <f>H9+F10-G10</f>
        <v>8028.2425000000021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29" si="0">B10+(MOD(B10,7)=6)*2+1</f>
        <v>45749</v>
      </c>
      <c r="C11" s="13" t="s">
        <v>8</v>
      </c>
      <c r="D11" s="23">
        <f>4538.87+163</f>
        <v>4701.87</v>
      </c>
      <c r="E11" s="23">
        <f t="shared" ref="E11:E31" si="1">D11-F11</f>
        <v>3526.4025000000001</v>
      </c>
      <c r="F11" s="23">
        <f>+D11*0.25</f>
        <v>1175.4675</v>
      </c>
      <c r="G11" s="23">
        <f>1134.71+40.75</f>
        <v>1175.46</v>
      </c>
      <c r="H11" s="12">
        <f t="shared" ref="H11:H29" si="2">H10+F11-G11</f>
        <v>8028.2500000000027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45750</v>
      </c>
      <c r="C12" s="13" t="s">
        <v>8</v>
      </c>
      <c r="D12" s="23">
        <v>8970.64</v>
      </c>
      <c r="E12" s="23">
        <f t="shared" si="1"/>
        <v>6727.98</v>
      </c>
      <c r="F12" s="23">
        <f t="shared" ref="F12:F31" si="3">+D12*0.25</f>
        <v>2242.66</v>
      </c>
      <c r="G12" s="23">
        <v>2242.66</v>
      </c>
      <c r="H12" s="12">
        <f t="shared" si="2"/>
        <v>8028.2500000000036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45751</v>
      </c>
      <c r="C13" s="13" t="s">
        <v>8</v>
      </c>
      <c r="D13" s="23">
        <f>3260.22+1320.2+126.4</f>
        <v>4706.82</v>
      </c>
      <c r="E13" s="23">
        <f>D13-F13</f>
        <v>3530.1149999999998</v>
      </c>
      <c r="F13" s="23">
        <f>+D13*0.25</f>
        <v>1176.7049999999999</v>
      </c>
      <c r="G13" s="23">
        <f>815.04+361.65</f>
        <v>1176.69</v>
      </c>
      <c r="H13" s="12">
        <f t="shared" si="2"/>
        <v>8028.2650000000031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45754</v>
      </c>
      <c r="C14" s="13" t="s">
        <v>8</v>
      </c>
      <c r="D14" s="23">
        <f>3468.13+2435.8</f>
        <v>5903.93</v>
      </c>
      <c r="E14" s="23">
        <f t="shared" si="1"/>
        <v>4427.9475000000002</v>
      </c>
      <c r="F14" s="23">
        <f t="shared" si="3"/>
        <v>1475.9825000000001</v>
      </c>
      <c r="G14" s="23">
        <f>867.03+608.95</f>
        <v>1475.98</v>
      </c>
      <c r="H14" s="12">
        <f t="shared" si="2"/>
        <v>8028.2675000000036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45755</v>
      </c>
      <c r="C15" s="13" t="s">
        <v>8</v>
      </c>
      <c r="D15" s="23">
        <f>7961.71+1390.4</f>
        <v>9352.11</v>
      </c>
      <c r="E15" s="23">
        <f t="shared" si="1"/>
        <v>7014.0825000000004</v>
      </c>
      <c r="F15" s="23">
        <f t="shared" si="3"/>
        <v>2338.0275000000001</v>
      </c>
      <c r="G15" s="23">
        <f>1990.39+347.6</f>
        <v>2337.9900000000002</v>
      </c>
      <c r="H15" s="12">
        <f t="shared" si="2"/>
        <v>8028.3050000000039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45756</v>
      </c>
      <c r="C16" s="13" t="s">
        <v>8</v>
      </c>
      <c r="D16" s="23">
        <f>3986.82+126.4</f>
        <v>4113.22</v>
      </c>
      <c r="E16" s="23">
        <f t="shared" si="1"/>
        <v>3084.915</v>
      </c>
      <c r="F16" s="23">
        <f t="shared" si="3"/>
        <v>1028.3050000000001</v>
      </c>
      <c r="G16" s="23">
        <f>996.68+31.6</f>
        <v>1028.28</v>
      </c>
      <c r="H16" s="12">
        <f t="shared" si="2"/>
        <v>8028.3300000000045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0"/>
        <v>45757</v>
      </c>
      <c r="C17" s="13" t="s">
        <v>8</v>
      </c>
      <c r="D17" s="23">
        <f>4114.33+1970.69</f>
        <v>6085.02</v>
      </c>
      <c r="E17" s="23">
        <f t="shared" si="1"/>
        <v>4563.7650000000003</v>
      </c>
      <c r="F17" s="23">
        <f t="shared" si="3"/>
        <v>1521.2550000000001</v>
      </c>
      <c r="G17" s="23">
        <f>1028.57+492.67</f>
        <v>1521.24</v>
      </c>
      <c r="H17" s="12">
        <f t="shared" si="2"/>
        <v>8028.3450000000048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0"/>
        <v>45758</v>
      </c>
      <c r="C18" s="13" t="s">
        <v>8</v>
      </c>
      <c r="D18" s="23">
        <f>2081.29+421.57</f>
        <v>2502.86</v>
      </c>
      <c r="E18" s="23">
        <f t="shared" si="1"/>
        <v>1877.145</v>
      </c>
      <c r="F18" s="23">
        <f t="shared" si="3"/>
        <v>625.71500000000003</v>
      </c>
      <c r="G18" s="23">
        <f>520.31+105.39</f>
        <v>625.69999999999993</v>
      </c>
      <c r="H18" s="12">
        <f t="shared" si="2"/>
        <v>8028.3600000000051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0"/>
        <v>45761</v>
      </c>
      <c r="C19" s="13" t="s">
        <v>8</v>
      </c>
      <c r="D19" s="23">
        <f>3323.71+2707.1</f>
        <v>6030.8099999999995</v>
      </c>
      <c r="E19" s="23">
        <f t="shared" si="1"/>
        <v>4523.1075000000001</v>
      </c>
      <c r="F19" s="23">
        <f t="shared" si="3"/>
        <v>1507.7024999999999</v>
      </c>
      <c r="G19" s="23">
        <f>830.92+676.77</f>
        <v>1507.69</v>
      </c>
      <c r="H19" s="12">
        <f t="shared" si="2"/>
        <v>8028.3725000000049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0"/>
        <v>45762</v>
      </c>
      <c r="C20" s="13" t="s">
        <v>8</v>
      </c>
      <c r="D20" s="23">
        <f>2348.31+1300.6</f>
        <v>3648.91</v>
      </c>
      <c r="E20" s="23">
        <f t="shared" si="1"/>
        <v>2736.6824999999999</v>
      </c>
      <c r="F20" s="23">
        <f t="shared" si="3"/>
        <v>912.22749999999996</v>
      </c>
      <c r="G20" s="23">
        <f>587.07+325.15</f>
        <v>912.22</v>
      </c>
      <c r="H20" s="12">
        <f t="shared" si="2"/>
        <v>8028.3800000000056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45763</v>
      </c>
      <c r="C21" s="13" t="s">
        <v>8</v>
      </c>
      <c r="D21" s="23">
        <f>3098.35+741.8</f>
        <v>3840.1499999999996</v>
      </c>
      <c r="E21" s="23">
        <f t="shared" si="1"/>
        <v>2880.1124999999997</v>
      </c>
      <c r="F21" s="23">
        <f t="shared" si="3"/>
        <v>960.03749999999991</v>
      </c>
      <c r="G21" s="23">
        <f>774.58+185.45</f>
        <v>960.03</v>
      </c>
      <c r="H21" s="12">
        <f>H20+F21-G21</f>
        <v>8028.3875000000053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0"/>
        <v>45764</v>
      </c>
      <c r="C22" s="13" t="s">
        <v>8</v>
      </c>
      <c r="D22" s="23">
        <f>3877.54+326</f>
        <v>4203.54</v>
      </c>
      <c r="E22" s="23">
        <f t="shared" si="1"/>
        <v>3152.6549999999997</v>
      </c>
      <c r="F22" s="23">
        <f t="shared" si="3"/>
        <v>1050.885</v>
      </c>
      <c r="G22" s="23">
        <f>969.38+81.5</f>
        <v>1050.8800000000001</v>
      </c>
      <c r="H22" s="12">
        <f t="shared" si="2"/>
        <v>8028.3925000000045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>B22+(MOD(B22,7)=6)*2+5</f>
        <v>45769</v>
      </c>
      <c r="C23" s="13" t="s">
        <v>8</v>
      </c>
      <c r="D23" s="23">
        <f>3915.94+834.4</f>
        <v>4750.34</v>
      </c>
      <c r="E23" s="23">
        <f t="shared" si="1"/>
        <v>3562.7550000000001</v>
      </c>
      <c r="F23" s="23">
        <f t="shared" si="3"/>
        <v>1187.585</v>
      </c>
      <c r="G23" s="23">
        <f>1187.58</f>
        <v>1187.58</v>
      </c>
      <c r="H23" s="12">
        <f t="shared" si="2"/>
        <v>8028.3975000000046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0"/>
        <v>45770</v>
      </c>
      <c r="C24" s="13" t="s">
        <v>8</v>
      </c>
      <c r="D24" s="23">
        <f>5769.46+126.4</f>
        <v>5895.86</v>
      </c>
      <c r="E24" s="23">
        <f t="shared" si="1"/>
        <v>4421.8949999999995</v>
      </c>
      <c r="F24" s="23">
        <f t="shared" si="3"/>
        <v>1473.9649999999999</v>
      </c>
      <c r="G24" s="23">
        <f>1442.35+31.6</f>
        <v>1473.9499999999998</v>
      </c>
      <c r="H24" s="12">
        <f t="shared" si="2"/>
        <v>8028.4125000000049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>B24+(MOD(B24,7)=6)*2+1</f>
        <v>45771</v>
      </c>
      <c r="C25" s="13" t="s">
        <v>8</v>
      </c>
      <c r="D25" s="23">
        <f>5722.27+2102</f>
        <v>7824.27</v>
      </c>
      <c r="E25" s="23">
        <f t="shared" si="1"/>
        <v>5868.2025000000003</v>
      </c>
      <c r="F25" s="23">
        <f t="shared" si="3"/>
        <v>1956.0675000000001</v>
      </c>
      <c r="G25" s="23">
        <f>1430.55+525.5</f>
        <v>1956.05</v>
      </c>
      <c r="H25" s="12">
        <f>H24+F25-G25</f>
        <v>8028.4300000000048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0"/>
        <v>45772</v>
      </c>
      <c r="C26" s="13" t="s">
        <v>8</v>
      </c>
      <c r="D26" s="23">
        <f>2893.94+289.4</f>
        <v>3183.34</v>
      </c>
      <c r="E26" s="23">
        <f t="shared" si="1"/>
        <v>2387.5050000000001</v>
      </c>
      <c r="F26" s="23">
        <f t="shared" si="3"/>
        <v>795.83500000000004</v>
      </c>
      <c r="G26" s="23">
        <f>723.48+72.35</f>
        <v>795.83</v>
      </c>
      <c r="H26" s="12">
        <f t="shared" si="2"/>
        <v>8028.4350000000049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2">
        <f t="shared" si="0"/>
        <v>45775</v>
      </c>
      <c r="C27" s="13" t="s">
        <v>8</v>
      </c>
      <c r="D27" s="23">
        <f>2721.91+720</f>
        <v>3441.91</v>
      </c>
      <c r="E27" s="23">
        <f t="shared" si="1"/>
        <v>2581.4324999999999</v>
      </c>
      <c r="F27" s="23">
        <f t="shared" si="3"/>
        <v>860.47749999999996</v>
      </c>
      <c r="G27" s="23">
        <f>680.47+180</f>
        <v>860.47</v>
      </c>
      <c r="H27" s="12">
        <f t="shared" si="2"/>
        <v>8028.4425000000056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0"/>
        <v>45776</v>
      </c>
      <c r="C28" s="13" t="s">
        <v>8</v>
      </c>
      <c r="D28" s="23">
        <f>4194.91+4128.6</f>
        <v>8323.51</v>
      </c>
      <c r="E28" s="23">
        <f t="shared" si="1"/>
        <v>6242.6324999999997</v>
      </c>
      <c r="F28" s="23">
        <f t="shared" si="3"/>
        <v>2080.8775000000001</v>
      </c>
      <c r="G28" s="23">
        <f>1048.72+1032.15</f>
        <v>2080.87</v>
      </c>
      <c r="H28" s="12">
        <f t="shared" si="2"/>
        <v>8028.4500000000053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31"/>
      <c r="B29" s="22">
        <f t="shared" si="0"/>
        <v>45777</v>
      </c>
      <c r="C29" s="13" t="s">
        <v>8</v>
      </c>
      <c r="D29" s="38">
        <f>11533.16+6912.51</f>
        <v>18445.669999999998</v>
      </c>
      <c r="E29" s="23">
        <f t="shared" si="1"/>
        <v>13834.252499999999</v>
      </c>
      <c r="F29" s="23">
        <f t="shared" si="3"/>
        <v>4611.4174999999996</v>
      </c>
      <c r="G29" s="23">
        <f>2883.28+1728.12</f>
        <v>4611.3999999999996</v>
      </c>
      <c r="H29" s="12">
        <f t="shared" si="2"/>
        <v>8028.4675000000043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 x14ac:dyDescent="0.25">
      <c r="A30" s="32" t="s">
        <v>12</v>
      </c>
      <c r="B30" s="37">
        <v>45770</v>
      </c>
      <c r="C30" s="13" t="s">
        <v>11</v>
      </c>
      <c r="D30" s="38">
        <v>0</v>
      </c>
      <c r="E30" s="23">
        <f t="shared" si="1"/>
        <v>0</v>
      </c>
      <c r="F30" s="23">
        <v>0</v>
      </c>
      <c r="G30" s="23">
        <v>8028.14</v>
      </c>
      <c r="H30" s="12">
        <f>G30-H29</f>
        <v>-0.3275000000039654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2" t="s">
        <v>13</v>
      </c>
      <c r="B31" s="37">
        <v>45777</v>
      </c>
      <c r="C31" s="13" t="s">
        <v>11</v>
      </c>
      <c r="D31" s="38">
        <v>22059.200000000001</v>
      </c>
      <c r="E31" s="23">
        <f t="shared" si="1"/>
        <v>16544.400000000001</v>
      </c>
      <c r="F31" s="23">
        <f t="shared" si="3"/>
        <v>5514.8</v>
      </c>
      <c r="G31" s="23">
        <v>0</v>
      </c>
      <c r="H31" s="12">
        <f>F31</f>
        <v>5514.8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 x14ac:dyDescent="0.25">
      <c r="A32" s="2"/>
      <c r="B32" s="18" t="s">
        <v>9</v>
      </c>
      <c r="C32" s="19"/>
      <c r="D32" s="20">
        <f>SUM(D10:D31)</f>
        <v>185769.07</v>
      </c>
      <c r="E32" s="20">
        <f>SUM(E10:E31)</f>
        <v>139326.80250000002</v>
      </c>
      <c r="F32" s="20">
        <f>SUM(F10:F31)</f>
        <v>46442.267500000002</v>
      </c>
      <c r="G32" s="14">
        <f>SUM(G10:G31)</f>
        <v>48955.280000000006</v>
      </c>
      <c r="H32" s="12">
        <f>+H31</f>
        <v>5514.8</v>
      </c>
      <c r="I32" s="1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9"/>
      <c r="B33" s="86" t="s">
        <v>10</v>
      </c>
      <c r="C33" s="87"/>
      <c r="D33" s="87"/>
      <c r="E33" s="87"/>
      <c r="F33" s="87"/>
      <c r="G33" s="87"/>
      <c r="H33" s="88"/>
      <c r="I33" s="3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9"/>
      <c r="B34" s="73" t="s">
        <v>106</v>
      </c>
      <c r="C34" s="74"/>
      <c r="D34" s="74"/>
      <c r="E34" s="74"/>
      <c r="F34" s="74"/>
      <c r="G34" s="74"/>
      <c r="H34" s="75"/>
      <c r="I34" s="3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31"/>
      <c r="B35" s="73" t="s">
        <v>107</v>
      </c>
      <c r="C35" s="90"/>
      <c r="D35" s="90"/>
      <c r="E35" s="90"/>
      <c r="F35" s="90"/>
      <c r="G35" s="90"/>
      <c r="H35" s="9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 x14ac:dyDescent="0.25">
      <c r="A36" s="31"/>
      <c r="B36" s="82" t="s">
        <v>108</v>
      </c>
      <c r="C36" s="71"/>
      <c r="D36" s="71"/>
      <c r="E36" s="71"/>
      <c r="F36" s="71"/>
      <c r="G36" s="71"/>
      <c r="H36" s="89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.75" customHeight="1" x14ac:dyDescent="0.25">
      <c r="A37" s="31"/>
      <c r="B37" s="82"/>
      <c r="C37" s="71"/>
      <c r="D37" s="71"/>
      <c r="E37" s="71"/>
      <c r="F37" s="71"/>
      <c r="G37" s="71"/>
      <c r="H37" s="89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thickBot="1" x14ac:dyDescent="0.3">
      <c r="A38" s="29"/>
      <c r="B38" s="76"/>
      <c r="C38" s="77"/>
      <c r="D38" s="77"/>
      <c r="E38" s="77"/>
      <c r="F38" s="77"/>
      <c r="G38" s="77"/>
      <c r="H38" s="78"/>
      <c r="I38" s="30"/>
      <c r="J38" s="2"/>
      <c r="K38" s="1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31"/>
      <c r="C39" s="31"/>
      <c r="D39" s="31"/>
      <c r="E39" s="31"/>
      <c r="F39" s="31"/>
      <c r="G39" s="31"/>
      <c r="H39" s="3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7">
    <mergeCell ref="B38:H38"/>
    <mergeCell ref="B7:H7"/>
    <mergeCell ref="B9:G9"/>
    <mergeCell ref="B33:H33"/>
    <mergeCell ref="B34:H34"/>
    <mergeCell ref="B36:H37"/>
    <mergeCell ref="B35:H35"/>
  </mergeCells>
  <pageMargins left="0.511811024" right="0.511811024" top="0.78740157499999996" bottom="0.78740157499999996" header="0.31496062000000002" footer="0.31496062000000002"/>
  <pageSetup paperSize="9" scale="77" orientation="portrait" r:id="rId1"/>
  <ignoredErrors>
    <ignoredError sqref="B23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2"/>
  <sheetViews>
    <sheetView topLeftCell="A4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109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112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110</v>
      </c>
      <c r="C9" s="63"/>
      <c r="D9" s="63"/>
      <c r="E9" s="63"/>
      <c r="F9" s="63"/>
      <c r="G9" s="63"/>
      <c r="H9" s="12">
        <f>+'04-2025'!H31</f>
        <v>5514.8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45779</v>
      </c>
      <c r="C10" s="13" t="s">
        <v>8</v>
      </c>
      <c r="D10" s="23">
        <f>39576.8+3249.6</f>
        <v>42826.400000000001</v>
      </c>
      <c r="E10" s="23">
        <f>D10-F10</f>
        <v>32119.800000000003</v>
      </c>
      <c r="F10" s="23">
        <f>+D10*0.25</f>
        <v>10706.6</v>
      </c>
      <c r="G10" s="23">
        <f>9894.11+812.4</f>
        <v>10706.51</v>
      </c>
      <c r="H10" s="12">
        <f>H9+F10-G10</f>
        <v>5514.8900000000012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0" si="0">B10+(MOD(B10,7)=6)*2+1</f>
        <v>45782</v>
      </c>
      <c r="C11" s="13" t="s">
        <v>8</v>
      </c>
      <c r="D11" s="23">
        <f>7110.27+2105.2</f>
        <v>9215.4700000000012</v>
      </c>
      <c r="E11" s="23">
        <f t="shared" ref="E11:E30" si="1">D11-F11</f>
        <v>6911.6025000000009</v>
      </c>
      <c r="F11" s="23">
        <f>+D11*0.25</f>
        <v>2303.8675000000003</v>
      </c>
      <c r="G11" s="23">
        <f>1777.56+526.3</f>
        <v>2303.8599999999997</v>
      </c>
      <c r="H11" s="12">
        <f t="shared" ref="H11:H29" si="2">H10+F11-G11</f>
        <v>5514.8975000000019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45783</v>
      </c>
      <c r="C12" s="13" t="s">
        <v>8</v>
      </c>
      <c r="D12" s="23">
        <f>15670.19+3385.6</f>
        <v>19055.79</v>
      </c>
      <c r="E12" s="23">
        <f t="shared" si="1"/>
        <v>14291.842500000001</v>
      </c>
      <c r="F12" s="23">
        <f t="shared" ref="F12:F30" si="3">+D12*0.25</f>
        <v>4763.9475000000002</v>
      </c>
      <c r="G12" s="23">
        <f>3917.52+846.4</f>
        <v>4763.92</v>
      </c>
      <c r="H12" s="12">
        <f t="shared" si="2"/>
        <v>5514.9250000000011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45784</v>
      </c>
      <c r="C13" s="13" t="s">
        <v>8</v>
      </c>
      <c r="D13" s="23">
        <f>6903.36+2779</f>
        <v>9682.36</v>
      </c>
      <c r="E13" s="23">
        <f>D13-F13</f>
        <v>7261.77</v>
      </c>
      <c r="F13" s="23">
        <f>+D13*0.25</f>
        <v>2420.59</v>
      </c>
      <c r="G13" s="23">
        <f>1725.83+649.75</f>
        <v>2375.58</v>
      </c>
      <c r="H13" s="12">
        <f t="shared" si="2"/>
        <v>5559.9350000000013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45785</v>
      </c>
      <c r="C14" s="13" t="s">
        <v>8</v>
      </c>
      <c r="D14" s="23">
        <f>5884.42+1643.2</f>
        <v>7527.62</v>
      </c>
      <c r="E14" s="23">
        <f t="shared" si="1"/>
        <v>5645.7150000000001</v>
      </c>
      <c r="F14" s="23">
        <f t="shared" si="3"/>
        <v>1881.905</v>
      </c>
      <c r="G14" s="23">
        <f>1471.09+410.8</f>
        <v>1881.8899999999999</v>
      </c>
      <c r="H14" s="12">
        <f t="shared" si="2"/>
        <v>5559.9500000000007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45786</v>
      </c>
      <c r="C15" s="13" t="s">
        <v>8</v>
      </c>
      <c r="D15" s="23">
        <f>13538.45+1173.6</f>
        <v>14712.050000000001</v>
      </c>
      <c r="E15" s="23">
        <f t="shared" si="1"/>
        <v>11034.0375</v>
      </c>
      <c r="F15" s="23">
        <f t="shared" si="3"/>
        <v>3678.0125000000003</v>
      </c>
      <c r="G15" s="23">
        <f>3384.6+293.4</f>
        <v>3678</v>
      </c>
      <c r="H15" s="12">
        <f t="shared" si="2"/>
        <v>5559.9625000000015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45789</v>
      </c>
      <c r="C16" s="13" t="s">
        <v>8</v>
      </c>
      <c r="D16" s="23">
        <f>10865.06+2308.4</f>
        <v>13173.46</v>
      </c>
      <c r="E16" s="23">
        <f t="shared" si="1"/>
        <v>9880.0949999999993</v>
      </c>
      <c r="F16" s="23">
        <f t="shared" si="3"/>
        <v>3293.3649999999998</v>
      </c>
      <c r="G16" s="23">
        <f>2716.25+577.1</f>
        <v>3293.35</v>
      </c>
      <c r="H16" s="12">
        <f t="shared" si="2"/>
        <v>5559.9775000000009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0"/>
        <v>45790</v>
      </c>
      <c r="C17" s="13" t="s">
        <v>8</v>
      </c>
      <c r="D17" s="23">
        <f>12882.45+3193</f>
        <v>16075.45</v>
      </c>
      <c r="E17" s="23">
        <f t="shared" si="1"/>
        <v>12056.587500000001</v>
      </c>
      <c r="F17" s="23">
        <f t="shared" si="3"/>
        <v>4018.8625000000002</v>
      </c>
      <c r="G17" s="23">
        <f>3220.59+798.25</f>
        <v>4018.84</v>
      </c>
      <c r="H17" s="12">
        <f t="shared" si="2"/>
        <v>5560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0"/>
        <v>45791</v>
      </c>
      <c r="C18" s="13" t="s">
        <v>8</v>
      </c>
      <c r="D18" s="23">
        <f>5942.28+1009.4</f>
        <v>6951.6799999999994</v>
      </c>
      <c r="E18" s="23">
        <f t="shared" si="1"/>
        <v>5213.7599999999993</v>
      </c>
      <c r="F18" s="23">
        <f t="shared" si="3"/>
        <v>1737.9199999999998</v>
      </c>
      <c r="G18" s="23">
        <f>1485.56+252.35</f>
        <v>1737.9099999999999</v>
      </c>
      <c r="H18" s="12">
        <f t="shared" si="2"/>
        <v>5560.01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0"/>
        <v>45792</v>
      </c>
      <c r="C19" s="13" t="s">
        <v>8</v>
      </c>
      <c r="D19" s="23">
        <f>9838.93+2528</f>
        <v>12366.93</v>
      </c>
      <c r="E19" s="23">
        <f t="shared" si="1"/>
        <v>9275.1975000000002</v>
      </c>
      <c r="F19" s="23">
        <f t="shared" si="3"/>
        <v>3091.7325000000001</v>
      </c>
      <c r="G19" s="23">
        <f>2459.72+632</f>
        <v>3091.72</v>
      </c>
      <c r="H19" s="12">
        <f t="shared" si="2"/>
        <v>5560.0225000000009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0"/>
        <v>45793</v>
      </c>
      <c r="C20" s="13" t="s">
        <v>8</v>
      </c>
      <c r="D20" s="23">
        <f>3760.81+2298.2</f>
        <v>6059.01</v>
      </c>
      <c r="E20" s="23">
        <f t="shared" si="1"/>
        <v>4544.2574999999997</v>
      </c>
      <c r="F20" s="23">
        <f t="shared" si="3"/>
        <v>1514.7525000000001</v>
      </c>
      <c r="G20" s="23">
        <f>940.2+574.55</f>
        <v>1514.75</v>
      </c>
      <c r="H20" s="12">
        <f t="shared" si="2"/>
        <v>5560.0250000000015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45796</v>
      </c>
      <c r="C21" s="13" t="s">
        <v>8</v>
      </c>
      <c r="D21" s="23">
        <f>4536.47+3575.8</f>
        <v>8112.27</v>
      </c>
      <c r="E21" s="23">
        <f t="shared" si="1"/>
        <v>6084.2025000000003</v>
      </c>
      <c r="F21" s="23">
        <f t="shared" si="3"/>
        <v>2028.0675000000001</v>
      </c>
      <c r="G21" s="23">
        <f>1134.11+893.95</f>
        <v>2028.06</v>
      </c>
      <c r="H21" s="12">
        <f>H20+F21-G21</f>
        <v>5560.0325000000012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0"/>
        <v>45797</v>
      </c>
      <c r="C22" s="13" t="s">
        <v>8</v>
      </c>
      <c r="D22" s="23">
        <f>9776.24+1686.4</f>
        <v>11462.64</v>
      </c>
      <c r="E22" s="23">
        <f t="shared" si="1"/>
        <v>8596.98</v>
      </c>
      <c r="F22" s="23">
        <f t="shared" si="3"/>
        <v>2865.66</v>
      </c>
      <c r="G22" s="23">
        <f>2444.06+421.6</f>
        <v>2865.66</v>
      </c>
      <c r="H22" s="12">
        <f t="shared" si="2"/>
        <v>5560.0325000000012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 t="shared" si="0"/>
        <v>45798</v>
      </c>
      <c r="C23" s="13" t="s">
        <v>8</v>
      </c>
      <c r="D23" s="23">
        <f>8625.22+2566.73</f>
        <v>11191.949999999999</v>
      </c>
      <c r="E23" s="23">
        <f t="shared" si="1"/>
        <v>8393.9624999999996</v>
      </c>
      <c r="F23" s="23">
        <f t="shared" si="3"/>
        <v>2797.9874999999997</v>
      </c>
      <c r="G23" s="23">
        <f>2156.29+641.68</f>
        <v>2797.97</v>
      </c>
      <c r="H23" s="12">
        <f t="shared" si="2"/>
        <v>5560.0500000000011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0"/>
        <v>45799</v>
      </c>
      <c r="C24" s="13" t="s">
        <v>8</v>
      </c>
      <c r="D24" s="23">
        <f>14674.71+126.4</f>
        <v>14801.109999999999</v>
      </c>
      <c r="E24" s="23">
        <f t="shared" si="1"/>
        <v>11100.832499999999</v>
      </c>
      <c r="F24" s="23">
        <f t="shared" si="3"/>
        <v>3700.2774999999997</v>
      </c>
      <c r="G24" s="23">
        <f>3668.66+31.6</f>
        <v>3700.2599999999998</v>
      </c>
      <c r="H24" s="12">
        <f t="shared" si="2"/>
        <v>5560.067500000001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0"/>
        <v>45800</v>
      </c>
      <c r="C25" s="13" t="s">
        <v>8</v>
      </c>
      <c r="D25" s="23">
        <f>9040.97+1990.12</f>
        <v>11031.09</v>
      </c>
      <c r="E25" s="23">
        <f t="shared" si="1"/>
        <v>8273.317500000001</v>
      </c>
      <c r="F25" s="23">
        <f t="shared" si="3"/>
        <v>2757.7725</v>
      </c>
      <c r="G25" s="23">
        <f>2260.24+497.53</f>
        <v>2757.7699999999995</v>
      </c>
      <c r="H25" s="12">
        <f>H24+F25-G25</f>
        <v>5560.0700000000006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0"/>
        <v>45803</v>
      </c>
      <c r="C26" s="13" t="s">
        <v>8</v>
      </c>
      <c r="D26" s="23">
        <f>8439+7390.2</f>
        <v>15829.2</v>
      </c>
      <c r="E26" s="23">
        <f t="shared" si="1"/>
        <v>11871.900000000001</v>
      </c>
      <c r="F26" s="23">
        <f t="shared" si="3"/>
        <v>3957.3</v>
      </c>
      <c r="G26" s="23">
        <f>2109.75+1847.55</f>
        <v>3957.3</v>
      </c>
      <c r="H26" s="12">
        <f t="shared" si="2"/>
        <v>5560.0700000000006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2">
        <f t="shared" si="0"/>
        <v>45804</v>
      </c>
      <c r="C27" s="13" t="s">
        <v>8</v>
      </c>
      <c r="D27" s="23">
        <f>33094.95+3689</f>
        <v>36783.949999999997</v>
      </c>
      <c r="E27" s="23">
        <f t="shared" si="1"/>
        <v>27587.962499999998</v>
      </c>
      <c r="F27" s="23">
        <f t="shared" si="3"/>
        <v>9195.9874999999993</v>
      </c>
      <c r="G27" s="23">
        <f>8273.72+922.25</f>
        <v>9195.9699999999993</v>
      </c>
      <c r="H27" s="12">
        <f t="shared" si="2"/>
        <v>5560.0874999999996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0"/>
        <v>45805</v>
      </c>
      <c r="C28" s="13" t="s">
        <v>8</v>
      </c>
      <c r="D28" s="23">
        <f>14384.24+3346</f>
        <v>17730.239999999998</v>
      </c>
      <c r="E28" s="23">
        <f t="shared" si="1"/>
        <v>13297.679999999998</v>
      </c>
      <c r="F28" s="23">
        <f t="shared" si="3"/>
        <v>4432.5599999999995</v>
      </c>
      <c r="G28" s="23">
        <f>3596.03+836.5</f>
        <v>4432.5300000000007</v>
      </c>
      <c r="H28" s="12">
        <f t="shared" si="2"/>
        <v>5560.1174999999985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31"/>
      <c r="B29" s="22">
        <f t="shared" si="0"/>
        <v>45806</v>
      </c>
      <c r="C29" s="13" t="s">
        <v>8</v>
      </c>
      <c r="D29" s="38">
        <f>15235.24+6265.4</f>
        <v>21500.639999999999</v>
      </c>
      <c r="E29" s="23">
        <f t="shared" si="1"/>
        <v>16125.48</v>
      </c>
      <c r="F29" s="23">
        <f t="shared" si="3"/>
        <v>5375.16</v>
      </c>
      <c r="G29" s="23">
        <f>3808.81+1566.35</f>
        <v>5375.16</v>
      </c>
      <c r="H29" s="12">
        <f t="shared" si="2"/>
        <v>5560.1174999999985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 x14ac:dyDescent="0.25">
      <c r="A30" s="32"/>
      <c r="B30" s="22">
        <f t="shared" si="0"/>
        <v>45807</v>
      </c>
      <c r="C30" s="13" t="s">
        <v>11</v>
      </c>
      <c r="D30" s="38">
        <f>36493.21+30004.07</f>
        <v>66497.279999999999</v>
      </c>
      <c r="E30" s="23">
        <f t="shared" si="1"/>
        <v>49872.959999999999</v>
      </c>
      <c r="F30" s="23">
        <f t="shared" si="3"/>
        <v>16624.32</v>
      </c>
      <c r="G30" s="23">
        <f>9123.28+7501.01</f>
        <v>16624.29</v>
      </c>
      <c r="H30" s="12">
        <f>H29+F30-G30</f>
        <v>5560.1474999999991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2" t="s">
        <v>12</v>
      </c>
      <c r="B31" s="22">
        <v>45800</v>
      </c>
      <c r="C31" s="13" t="s">
        <v>11</v>
      </c>
      <c r="D31" s="38">
        <v>22059.200000000001</v>
      </c>
      <c r="E31" s="23">
        <f>D31-F31</f>
        <v>22059.200000000001</v>
      </c>
      <c r="F31" s="23">
        <v>0</v>
      </c>
      <c r="G31" s="23">
        <v>5514.8</v>
      </c>
      <c r="H31" s="12">
        <f>H30-G31</f>
        <v>45.347499999998945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 x14ac:dyDescent="0.25">
      <c r="A32" s="2"/>
      <c r="B32" s="18" t="s">
        <v>9</v>
      </c>
      <c r="C32" s="19"/>
      <c r="D32" s="20">
        <f>SUM(D10:D31)</f>
        <v>394645.79</v>
      </c>
      <c r="E32" s="20">
        <f>SUM(E10:E31)</f>
        <v>301499.14250000002</v>
      </c>
      <c r="F32" s="20">
        <f>SUM(F10:F31)</f>
        <v>93146.647499999992</v>
      </c>
      <c r="G32" s="14">
        <f>SUM(G10:G31)</f>
        <v>98616.10000000002</v>
      </c>
      <c r="H32" s="12">
        <f>+H31</f>
        <v>45.347499999998945</v>
      </c>
      <c r="I32" s="1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9"/>
      <c r="B33" s="86" t="s">
        <v>10</v>
      </c>
      <c r="C33" s="87"/>
      <c r="D33" s="87"/>
      <c r="E33" s="87"/>
      <c r="F33" s="87"/>
      <c r="G33" s="87"/>
      <c r="H33" s="88"/>
      <c r="I33" s="3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9"/>
      <c r="B34" s="73" t="s">
        <v>113</v>
      </c>
      <c r="C34" s="74"/>
      <c r="D34" s="74"/>
      <c r="E34" s="74"/>
      <c r="F34" s="74"/>
      <c r="G34" s="74"/>
      <c r="H34" s="75"/>
      <c r="I34" s="3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31"/>
      <c r="B35" s="73" t="s">
        <v>111</v>
      </c>
      <c r="C35" s="90"/>
      <c r="D35" s="90"/>
      <c r="E35" s="90"/>
      <c r="F35" s="90"/>
      <c r="G35" s="90"/>
      <c r="H35" s="9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 x14ac:dyDescent="0.25">
      <c r="A36" s="31"/>
      <c r="B36" s="82"/>
      <c r="C36" s="71"/>
      <c r="D36" s="71"/>
      <c r="E36" s="71"/>
      <c r="F36" s="71"/>
      <c r="G36" s="71"/>
      <c r="H36" s="89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.75" customHeight="1" x14ac:dyDescent="0.25">
      <c r="A37" s="31"/>
      <c r="B37" s="82"/>
      <c r="C37" s="71"/>
      <c r="D37" s="71"/>
      <c r="E37" s="71"/>
      <c r="F37" s="71"/>
      <c r="G37" s="71"/>
      <c r="H37" s="89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thickBot="1" x14ac:dyDescent="0.3">
      <c r="A38" s="29"/>
      <c r="B38" s="76"/>
      <c r="C38" s="77"/>
      <c r="D38" s="77"/>
      <c r="E38" s="77"/>
      <c r="F38" s="77"/>
      <c r="G38" s="77"/>
      <c r="H38" s="78"/>
      <c r="I38" s="30"/>
      <c r="J38" s="2"/>
      <c r="K38" s="1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31"/>
      <c r="C39" s="31"/>
      <c r="D39" s="31"/>
      <c r="E39" s="31"/>
      <c r="F39" s="31"/>
      <c r="G39" s="31"/>
      <c r="H39" s="3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7">
    <mergeCell ref="B38:H38"/>
    <mergeCell ref="B7:H7"/>
    <mergeCell ref="B9:G9"/>
    <mergeCell ref="B33:H33"/>
    <mergeCell ref="B34:H34"/>
    <mergeCell ref="B35:H35"/>
    <mergeCell ref="B36:H37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2"/>
  <sheetViews>
    <sheetView topLeftCell="A4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115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114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116</v>
      </c>
      <c r="C9" s="63"/>
      <c r="D9" s="63"/>
      <c r="E9" s="63"/>
      <c r="F9" s="63"/>
      <c r="G9" s="63"/>
      <c r="H9" s="12">
        <f>+'05-2025'!H31</f>
        <v>45.347499999998945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45810</v>
      </c>
      <c r="C10" s="13" t="s">
        <v>8</v>
      </c>
      <c r="D10" s="23">
        <f>304210.08+9669.75</f>
        <v>313879.83</v>
      </c>
      <c r="E10" s="23">
        <f>D10-F10</f>
        <v>235409.8725</v>
      </c>
      <c r="F10" s="23">
        <f>+D10*0.25</f>
        <v>78469.957500000004</v>
      </c>
      <c r="G10" s="23">
        <f>76052.34+2417.37</f>
        <v>78469.709999999992</v>
      </c>
      <c r="H10" s="12">
        <f>H9+F10-G10</f>
        <v>45.595000000015716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29" si="0">B10+(MOD(B10,7)=6)*2+1</f>
        <v>45811</v>
      </c>
      <c r="C11" s="13" t="s">
        <v>8</v>
      </c>
      <c r="D11" s="23">
        <f>12658.94+4741.67</f>
        <v>17400.61</v>
      </c>
      <c r="E11" s="23">
        <f t="shared" ref="E11:E29" si="1">D11-F11</f>
        <v>13050.4575</v>
      </c>
      <c r="F11" s="23">
        <f>+D11*0.25</f>
        <v>4350.1525000000001</v>
      </c>
      <c r="G11" s="23">
        <f>3164.61+1185.39</f>
        <v>4350</v>
      </c>
      <c r="H11" s="12">
        <f t="shared" ref="H11:H29" si="2">H10+F11-G11</f>
        <v>45.747500000015862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45812</v>
      </c>
      <c r="C12" s="13" t="s">
        <v>8</v>
      </c>
      <c r="D12" s="23">
        <f>9601.96+2423.66</f>
        <v>12025.619999999999</v>
      </c>
      <c r="E12" s="23">
        <f t="shared" si="1"/>
        <v>9019.2150000000001</v>
      </c>
      <c r="F12" s="23">
        <f t="shared" ref="F12:F31" si="3">+D12*0.25</f>
        <v>3006.4049999999997</v>
      </c>
      <c r="G12" s="23">
        <f>2400.42+605.9</f>
        <v>3006.32</v>
      </c>
      <c r="H12" s="12">
        <f t="shared" si="2"/>
        <v>45.832500000015443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45813</v>
      </c>
      <c r="C13" s="13" t="s">
        <v>8</v>
      </c>
      <c r="D13" s="23">
        <f>10994.61+3316.83</f>
        <v>14311.44</v>
      </c>
      <c r="E13" s="23">
        <f>D13-F13</f>
        <v>10733.58</v>
      </c>
      <c r="F13" s="23">
        <f>+D13*0.25</f>
        <v>3577.86</v>
      </c>
      <c r="G13" s="23">
        <f>2748.58+829.2</f>
        <v>3577.7799999999997</v>
      </c>
      <c r="H13" s="12">
        <f t="shared" si="2"/>
        <v>45.912500000015825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45814</v>
      </c>
      <c r="C14" s="13" t="s">
        <v>8</v>
      </c>
      <c r="D14" s="23">
        <f>5654.66+2423.92</f>
        <v>8078.58</v>
      </c>
      <c r="E14" s="23">
        <f t="shared" si="1"/>
        <v>6058.9349999999995</v>
      </c>
      <c r="F14" s="23">
        <f t="shared" si="3"/>
        <v>2019.645</v>
      </c>
      <c r="G14" s="23">
        <f>1413.62+605.97</f>
        <v>2019.59</v>
      </c>
      <c r="H14" s="12">
        <f t="shared" si="2"/>
        <v>45.967500000015889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45817</v>
      </c>
      <c r="C15" s="13" t="s">
        <v>8</v>
      </c>
      <c r="D15" s="23">
        <f>13318.79+2103.96</f>
        <v>15422.75</v>
      </c>
      <c r="E15" s="23">
        <f t="shared" si="1"/>
        <v>11567.0625</v>
      </c>
      <c r="F15" s="23">
        <f t="shared" si="3"/>
        <v>3855.6875</v>
      </c>
      <c r="G15" s="23">
        <f>3329.63+525.98</f>
        <v>3855.61</v>
      </c>
      <c r="H15" s="12">
        <f t="shared" si="2"/>
        <v>46.045000000015989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45818</v>
      </c>
      <c r="C16" s="13" t="s">
        <v>8</v>
      </c>
      <c r="D16" s="23">
        <f>5074.43+4238.88</f>
        <v>9313.3100000000013</v>
      </c>
      <c r="E16" s="23">
        <f t="shared" si="1"/>
        <v>6984.982500000001</v>
      </c>
      <c r="F16" s="23">
        <f t="shared" si="3"/>
        <v>2328.3275000000003</v>
      </c>
      <c r="G16" s="23">
        <f>1268.56+1059.7</f>
        <v>2328.2600000000002</v>
      </c>
      <c r="H16" s="12">
        <f t="shared" si="2"/>
        <v>46.112500000016098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0"/>
        <v>45819</v>
      </c>
      <c r="C17" s="13" t="s">
        <v>8</v>
      </c>
      <c r="D17" s="23">
        <f>11440.51+1512.23</f>
        <v>12952.74</v>
      </c>
      <c r="E17" s="23">
        <f t="shared" si="1"/>
        <v>9714.5550000000003</v>
      </c>
      <c r="F17" s="23">
        <f t="shared" si="3"/>
        <v>3238.1849999999999</v>
      </c>
      <c r="G17" s="23">
        <f>2860.07+378.05</f>
        <v>3238.1200000000003</v>
      </c>
      <c r="H17" s="12">
        <f t="shared" si="2"/>
        <v>46.177500000015698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0"/>
        <v>45820</v>
      </c>
      <c r="C18" s="13" t="s">
        <v>8</v>
      </c>
      <c r="D18" s="23">
        <f>3777.08+492</f>
        <v>4269.08</v>
      </c>
      <c r="E18" s="23">
        <f t="shared" si="1"/>
        <v>3201.81</v>
      </c>
      <c r="F18" s="23">
        <f t="shared" si="3"/>
        <v>1067.27</v>
      </c>
      <c r="G18" s="23">
        <f>944.24+123</f>
        <v>1067.24</v>
      </c>
      <c r="H18" s="12">
        <f t="shared" si="2"/>
        <v>46.207500000015671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0"/>
        <v>45821</v>
      </c>
      <c r="C19" s="13" t="s">
        <v>8</v>
      </c>
      <c r="D19" s="23">
        <f>4703.33+211</f>
        <v>4914.33</v>
      </c>
      <c r="E19" s="23">
        <f t="shared" si="1"/>
        <v>3685.7474999999999</v>
      </c>
      <c r="F19" s="23">
        <f t="shared" si="3"/>
        <v>1228.5825</v>
      </c>
      <c r="G19" s="23">
        <f>1175.81+52.75</f>
        <v>1228.56</v>
      </c>
      <c r="H19" s="12">
        <f t="shared" si="2"/>
        <v>46.230000000015707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0"/>
        <v>45824</v>
      </c>
      <c r="C20" s="13" t="s">
        <v>8</v>
      </c>
      <c r="D20" s="23">
        <f>5047.75+414</f>
        <v>5461.75</v>
      </c>
      <c r="E20" s="23">
        <f t="shared" si="1"/>
        <v>4096.3125</v>
      </c>
      <c r="F20" s="23">
        <f t="shared" si="3"/>
        <v>1365.4375</v>
      </c>
      <c r="G20" s="23">
        <f>1261.9+103.5</f>
        <v>1365.4</v>
      </c>
      <c r="H20" s="12">
        <f t="shared" si="2"/>
        <v>46.267500000015616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45825</v>
      </c>
      <c r="C21" s="13" t="s">
        <v>8</v>
      </c>
      <c r="D21" s="23">
        <f>5305.24+841.35</f>
        <v>6146.59</v>
      </c>
      <c r="E21" s="23">
        <f t="shared" si="1"/>
        <v>4609.9425000000001</v>
      </c>
      <c r="F21" s="23">
        <f t="shared" si="3"/>
        <v>1536.6475</v>
      </c>
      <c r="G21" s="23">
        <f>1326.28+210.33</f>
        <v>1536.61</v>
      </c>
      <c r="H21" s="12">
        <f>H20+F21-G21</f>
        <v>46.305000000015752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0"/>
        <v>45826</v>
      </c>
      <c r="C22" s="13" t="s">
        <v>8</v>
      </c>
      <c r="D22" s="23">
        <f>1058.59+966.44</f>
        <v>2025.03</v>
      </c>
      <c r="E22" s="23">
        <f t="shared" si="1"/>
        <v>1518.7725</v>
      </c>
      <c r="F22" s="23">
        <f t="shared" si="3"/>
        <v>506.25749999999999</v>
      </c>
      <c r="G22" s="23">
        <f>264.64+241.61</f>
        <v>506.25</v>
      </c>
      <c r="H22" s="12">
        <f t="shared" si="2"/>
        <v>46.312500000015689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>B22+(MOD(B22,7)=6)*2+1+1</f>
        <v>45828</v>
      </c>
      <c r="C23" s="13" t="s">
        <v>8</v>
      </c>
      <c r="D23" s="23">
        <f>1345.57+1172.45</f>
        <v>2518.02</v>
      </c>
      <c r="E23" s="23">
        <f t="shared" si="1"/>
        <v>1888.5149999999999</v>
      </c>
      <c r="F23" s="23">
        <f t="shared" si="3"/>
        <v>629.505</v>
      </c>
      <c r="G23" s="23">
        <f>336.36+293.11</f>
        <v>629.47</v>
      </c>
      <c r="H23" s="12">
        <f t="shared" si="2"/>
        <v>46.347500000015657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>B23+(MOD(B23,7)=6)*2+1</f>
        <v>45831</v>
      </c>
      <c r="C24" s="13" t="s">
        <v>8</v>
      </c>
      <c r="D24" s="23">
        <f>1098.97+1993.96</f>
        <v>3092.9300000000003</v>
      </c>
      <c r="E24" s="23">
        <f t="shared" si="1"/>
        <v>2319.6975000000002</v>
      </c>
      <c r="F24" s="23">
        <f t="shared" si="3"/>
        <v>773.23250000000007</v>
      </c>
      <c r="G24" s="23">
        <f>274.72+498.48</f>
        <v>773.2</v>
      </c>
      <c r="H24" s="12">
        <f>H23+F24-G24</f>
        <v>46.380000000015684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0"/>
        <v>45832</v>
      </c>
      <c r="C25" s="13" t="s">
        <v>8</v>
      </c>
      <c r="D25" s="23">
        <f>4376.57+5523.23</f>
        <v>9899.7999999999993</v>
      </c>
      <c r="E25" s="23">
        <f t="shared" si="1"/>
        <v>7424.8499999999995</v>
      </c>
      <c r="F25" s="23">
        <f t="shared" si="3"/>
        <v>2474.9499999999998</v>
      </c>
      <c r="G25" s="23">
        <f>1094.12+1380.8</f>
        <v>2474.92</v>
      </c>
      <c r="H25" s="12">
        <f>H24+F25-G25</f>
        <v>46.410000000015316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0"/>
        <v>45833</v>
      </c>
      <c r="C26" s="13" t="s">
        <v>8</v>
      </c>
      <c r="D26" s="23">
        <f>4535.5+751.04</f>
        <v>5286.54</v>
      </c>
      <c r="E26" s="23">
        <f t="shared" si="1"/>
        <v>3964.9049999999997</v>
      </c>
      <c r="F26" s="23">
        <f t="shared" si="3"/>
        <v>1321.635</v>
      </c>
      <c r="G26" s="23">
        <f>1133.86+187.76</f>
        <v>1321.62</v>
      </c>
      <c r="H26" s="12">
        <f t="shared" si="2"/>
        <v>46.425000000015416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2">
        <f t="shared" si="0"/>
        <v>45834</v>
      </c>
      <c r="C27" s="13" t="s">
        <v>8</v>
      </c>
      <c r="D27" s="23">
        <f>7282.98+2039.5</f>
        <v>9322.48</v>
      </c>
      <c r="E27" s="23">
        <f t="shared" si="1"/>
        <v>6991.86</v>
      </c>
      <c r="F27" s="23">
        <f t="shared" si="3"/>
        <v>2330.62</v>
      </c>
      <c r="G27" s="23">
        <f>1820.72+509.87</f>
        <v>2330.59</v>
      </c>
      <c r="H27" s="12">
        <f t="shared" si="2"/>
        <v>46.455000000015389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0"/>
        <v>45835</v>
      </c>
      <c r="C28" s="13" t="s">
        <v>8</v>
      </c>
      <c r="D28" s="23">
        <f>5356.95+1106.08</f>
        <v>6463.03</v>
      </c>
      <c r="E28" s="23">
        <f t="shared" si="1"/>
        <v>4847.2725</v>
      </c>
      <c r="F28" s="23">
        <f t="shared" si="3"/>
        <v>1615.7574999999999</v>
      </c>
      <c r="G28" s="23">
        <f>1339.22+276.52</f>
        <v>1615.74</v>
      </c>
      <c r="H28" s="12">
        <f t="shared" si="2"/>
        <v>46.472500000015316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31"/>
      <c r="B29" s="22">
        <f t="shared" si="0"/>
        <v>45838</v>
      </c>
      <c r="C29" s="13" t="s">
        <v>8</v>
      </c>
      <c r="D29" s="38">
        <f>2084.91+4030.23</f>
        <v>6115.1399999999994</v>
      </c>
      <c r="E29" s="23">
        <f t="shared" si="1"/>
        <v>4586.3549999999996</v>
      </c>
      <c r="F29" s="23">
        <f t="shared" si="3"/>
        <v>1528.7849999999999</v>
      </c>
      <c r="G29" s="23">
        <f>521.2+1007.54</f>
        <v>1528.74</v>
      </c>
      <c r="H29" s="12">
        <f t="shared" si="2"/>
        <v>46.517500000015161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 x14ac:dyDescent="0.25">
      <c r="A30" s="32" t="s">
        <v>12</v>
      </c>
      <c r="B30" s="22">
        <v>45800</v>
      </c>
      <c r="C30" s="13" t="s">
        <v>11</v>
      </c>
      <c r="D30" s="38">
        <v>0</v>
      </c>
      <c r="E30" s="23">
        <f>D30-F30</f>
        <v>0</v>
      </c>
      <c r="F30" s="23">
        <f t="shared" si="3"/>
        <v>0</v>
      </c>
      <c r="G30" s="23">
        <v>45.35</v>
      </c>
      <c r="H30" s="12">
        <f>H29+F30-G30</f>
        <v>1.1675000000151599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2" t="s">
        <v>13</v>
      </c>
      <c r="B31" s="22">
        <v>45800</v>
      </c>
      <c r="C31" s="13" t="s">
        <v>11</v>
      </c>
      <c r="D31" s="38">
        <v>3181.39</v>
      </c>
      <c r="E31" s="23">
        <f>D31-F31</f>
        <v>2386.0425</v>
      </c>
      <c r="F31" s="23">
        <f t="shared" si="3"/>
        <v>795.34749999999997</v>
      </c>
      <c r="G31" s="23">
        <v>0</v>
      </c>
      <c r="H31" s="12">
        <f>F31</f>
        <v>795.34749999999997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 x14ac:dyDescent="0.25">
      <c r="A32" s="2"/>
      <c r="B32" s="18" t="s">
        <v>9</v>
      </c>
      <c r="C32" s="19"/>
      <c r="D32" s="20">
        <f>SUM(D10:D31)</f>
        <v>472080.99000000011</v>
      </c>
      <c r="E32" s="20">
        <f>SUM(E10:E31)</f>
        <v>354060.74249999999</v>
      </c>
      <c r="F32" s="20">
        <f>SUM(F10:F31)</f>
        <v>118020.24750000003</v>
      </c>
      <c r="G32" s="14">
        <f>SUM(G10:G31)</f>
        <v>117269.07999999999</v>
      </c>
      <c r="H32" s="12">
        <f>+H31</f>
        <v>795.34749999999997</v>
      </c>
      <c r="I32" s="1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9"/>
      <c r="B33" s="86" t="s">
        <v>10</v>
      </c>
      <c r="C33" s="87"/>
      <c r="D33" s="87"/>
      <c r="E33" s="87"/>
      <c r="F33" s="87"/>
      <c r="G33" s="87"/>
      <c r="H33" s="88"/>
      <c r="I33" s="3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9"/>
      <c r="B34" s="73" t="s">
        <v>119</v>
      </c>
      <c r="C34" s="74"/>
      <c r="D34" s="74"/>
      <c r="E34" s="74"/>
      <c r="F34" s="74"/>
      <c r="G34" s="74"/>
      <c r="H34" s="75"/>
      <c r="I34" s="3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31"/>
      <c r="B35" s="73" t="s">
        <v>117</v>
      </c>
      <c r="C35" s="90"/>
      <c r="D35" s="90"/>
      <c r="E35" s="90"/>
      <c r="F35" s="90"/>
      <c r="G35" s="90"/>
      <c r="H35" s="9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 x14ac:dyDescent="0.25">
      <c r="A36" s="31"/>
      <c r="B36" s="82" t="s">
        <v>118</v>
      </c>
      <c r="C36" s="71"/>
      <c r="D36" s="71"/>
      <c r="E36" s="71"/>
      <c r="F36" s="71"/>
      <c r="G36" s="71"/>
      <c r="H36" s="89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.75" customHeight="1" x14ac:dyDescent="0.25">
      <c r="A37" s="31"/>
      <c r="B37" s="82"/>
      <c r="C37" s="71"/>
      <c r="D37" s="71"/>
      <c r="E37" s="71"/>
      <c r="F37" s="71"/>
      <c r="G37" s="71"/>
      <c r="H37" s="89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thickBot="1" x14ac:dyDescent="0.3">
      <c r="A38" s="29"/>
      <c r="B38" s="76"/>
      <c r="C38" s="77"/>
      <c r="D38" s="77"/>
      <c r="E38" s="77"/>
      <c r="F38" s="77"/>
      <c r="G38" s="77"/>
      <c r="H38" s="78"/>
      <c r="I38" s="30"/>
      <c r="J38" s="2"/>
      <c r="K38" s="1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31"/>
      <c r="C39" s="31"/>
      <c r="D39" s="31"/>
      <c r="E39" s="31"/>
      <c r="F39" s="31"/>
      <c r="G39" s="31"/>
      <c r="H39" s="3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7">
    <mergeCell ref="B38:H38"/>
    <mergeCell ref="B7:H7"/>
    <mergeCell ref="B9:G9"/>
    <mergeCell ref="B33:H33"/>
    <mergeCell ref="B34:H34"/>
    <mergeCell ref="B35:H35"/>
    <mergeCell ref="B36:H37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4"/>
  <sheetViews>
    <sheetView topLeftCell="A4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123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124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116</v>
      </c>
      <c r="C9" s="63"/>
      <c r="D9" s="63"/>
      <c r="E9" s="63"/>
      <c r="F9" s="63"/>
      <c r="G9" s="63"/>
      <c r="H9" s="12">
        <f>+'06-2025'!H32</f>
        <v>795.34749999999997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45839</v>
      </c>
      <c r="C10" s="13" t="s">
        <v>8</v>
      </c>
      <c r="D10" s="23">
        <f>19039.52+3565.86</f>
        <v>22605.38</v>
      </c>
      <c r="E10" s="23">
        <f>D10-F10</f>
        <v>16954.035</v>
      </c>
      <c r="F10" s="23">
        <f>+D10*0.25</f>
        <v>5651.3450000000003</v>
      </c>
      <c r="G10" s="23">
        <f>4759.68+891.44</f>
        <v>5651.1200000000008</v>
      </c>
      <c r="H10" s="12">
        <f>H9+F10-G10</f>
        <v>795.57249999999931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0">B10+(MOD(B10,7)=6)*2+1</f>
        <v>45840</v>
      </c>
      <c r="C11" s="13" t="s">
        <v>8</v>
      </c>
      <c r="D11" s="23">
        <f>2694.61+921.59</f>
        <v>3616.2000000000003</v>
      </c>
      <c r="E11" s="23">
        <f t="shared" ref="E11:E32" si="1">D11-F11</f>
        <v>2712.15</v>
      </c>
      <c r="F11" s="23">
        <f>+D11*0.25</f>
        <v>904.05000000000007</v>
      </c>
      <c r="G11" s="23">
        <f>673.63+230.39</f>
        <v>904.02</v>
      </c>
      <c r="H11" s="12">
        <f t="shared" ref="H11:H31" si="2">H10+F11-G11</f>
        <v>795.60249999999951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45841</v>
      </c>
      <c r="C12" s="13" t="s">
        <v>8</v>
      </c>
      <c r="D12" s="23">
        <f>2853.66+326</f>
        <v>3179.66</v>
      </c>
      <c r="E12" s="23">
        <f t="shared" si="1"/>
        <v>2384.7449999999999</v>
      </c>
      <c r="F12" s="23">
        <f t="shared" ref="F12:F33" si="3">+D12*0.25</f>
        <v>794.91499999999996</v>
      </c>
      <c r="G12" s="23">
        <f>713.4+81.5</f>
        <v>794.9</v>
      </c>
      <c r="H12" s="12">
        <f t="shared" si="2"/>
        <v>795.6174999999995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45842</v>
      </c>
      <c r="C13" s="13" t="s">
        <v>8</v>
      </c>
      <c r="D13" s="23">
        <f>1622.27+267.26</f>
        <v>1889.53</v>
      </c>
      <c r="E13" s="23">
        <f>D13-F13</f>
        <v>1417.1475</v>
      </c>
      <c r="F13" s="23">
        <f>+D13*0.25</f>
        <v>472.38249999999999</v>
      </c>
      <c r="G13" s="23">
        <f>405.55+66.81</f>
        <v>472.36</v>
      </c>
      <c r="H13" s="12">
        <f t="shared" si="2"/>
        <v>795.63999999999953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45845</v>
      </c>
      <c r="C14" s="13" t="s">
        <v>8</v>
      </c>
      <c r="D14" s="23">
        <f>2865.61+2360.21</f>
        <v>5225.82</v>
      </c>
      <c r="E14" s="23">
        <f t="shared" si="1"/>
        <v>3919.3649999999998</v>
      </c>
      <c r="F14" s="23">
        <f t="shared" si="3"/>
        <v>1306.4549999999999</v>
      </c>
      <c r="G14" s="23">
        <f>716.39+590.04</f>
        <v>1306.4299999999998</v>
      </c>
      <c r="H14" s="12">
        <f t="shared" si="2"/>
        <v>795.66499999999951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45846</v>
      </c>
      <c r="C15" s="13" t="s">
        <v>8</v>
      </c>
      <c r="D15" s="23">
        <f>4420.27+1291.83</f>
        <v>5712.1</v>
      </c>
      <c r="E15" s="23">
        <f t="shared" si="1"/>
        <v>4284.0750000000007</v>
      </c>
      <c r="F15" s="23">
        <f t="shared" si="3"/>
        <v>1428.0250000000001</v>
      </c>
      <c r="G15" s="23">
        <f>1105.03+322.95</f>
        <v>1427.98</v>
      </c>
      <c r="H15" s="12">
        <f t="shared" si="2"/>
        <v>795.70999999999958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45847</v>
      </c>
      <c r="C16" s="13" t="s">
        <v>8</v>
      </c>
      <c r="D16" s="23">
        <f>448.75+2092.42</f>
        <v>2541.17</v>
      </c>
      <c r="E16" s="23">
        <f t="shared" si="1"/>
        <v>1905.8775000000001</v>
      </c>
      <c r="F16" s="23">
        <f t="shared" si="3"/>
        <v>635.29250000000002</v>
      </c>
      <c r="G16" s="23">
        <f>112.18+523.09</f>
        <v>635.27</v>
      </c>
      <c r="H16" s="12">
        <f t="shared" si="2"/>
        <v>795.73249999999962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0"/>
        <v>45848</v>
      </c>
      <c r="C17" s="13" t="s">
        <v>8</v>
      </c>
      <c r="D17" s="23">
        <f>1871.31+2177.01</f>
        <v>4048.32</v>
      </c>
      <c r="E17" s="23">
        <f t="shared" si="1"/>
        <v>3036.2400000000002</v>
      </c>
      <c r="F17" s="23">
        <f t="shared" si="3"/>
        <v>1012.08</v>
      </c>
      <c r="G17" s="23">
        <f>467.82+544.22</f>
        <v>1012.04</v>
      </c>
      <c r="H17" s="12">
        <f t="shared" si="2"/>
        <v>795.77249999999958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0"/>
        <v>45849</v>
      </c>
      <c r="C18" s="13" t="s">
        <v>8</v>
      </c>
      <c r="D18" s="23">
        <f>10652.82+326</f>
        <v>10978.82</v>
      </c>
      <c r="E18" s="23">
        <f t="shared" si="1"/>
        <v>8234.1149999999998</v>
      </c>
      <c r="F18" s="23">
        <f t="shared" si="3"/>
        <v>2744.7049999999999</v>
      </c>
      <c r="G18" s="23">
        <f>2663.17+81.5</f>
        <v>2744.67</v>
      </c>
      <c r="H18" s="12">
        <f t="shared" si="2"/>
        <v>795.80749999999944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0"/>
        <v>45852</v>
      </c>
      <c r="C19" s="13" t="s">
        <v>8</v>
      </c>
      <c r="D19" s="23">
        <f>4244.4+4305.07</f>
        <v>8549.4699999999993</v>
      </c>
      <c r="E19" s="23">
        <f t="shared" si="1"/>
        <v>6412.1024999999991</v>
      </c>
      <c r="F19" s="23">
        <f t="shared" si="3"/>
        <v>2137.3674999999998</v>
      </c>
      <c r="G19" s="23">
        <f>1061.07+1076.26</f>
        <v>2137.33</v>
      </c>
      <c r="H19" s="12">
        <f t="shared" si="2"/>
        <v>795.84499999999935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0"/>
        <v>45853</v>
      </c>
      <c r="C20" s="13" t="s">
        <v>8</v>
      </c>
      <c r="D20" s="23">
        <f>11911.14+1556</f>
        <v>13467.14</v>
      </c>
      <c r="E20" s="23">
        <f t="shared" si="1"/>
        <v>10100.355</v>
      </c>
      <c r="F20" s="23">
        <f t="shared" si="3"/>
        <v>3366.7849999999999</v>
      </c>
      <c r="G20" s="23">
        <f>2977.7+389</f>
        <v>3366.7</v>
      </c>
      <c r="H20" s="12">
        <f t="shared" si="2"/>
        <v>795.92999999999938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45854</v>
      </c>
      <c r="C21" s="13" t="s">
        <v>8</v>
      </c>
      <c r="D21" s="23">
        <f>6363.42+2893.72</f>
        <v>9257.14</v>
      </c>
      <c r="E21" s="23">
        <f t="shared" si="1"/>
        <v>6942.8549999999996</v>
      </c>
      <c r="F21" s="23">
        <f t="shared" si="3"/>
        <v>2314.2849999999999</v>
      </c>
      <c r="G21" s="23">
        <f>1590.82+723.42</f>
        <v>2314.2399999999998</v>
      </c>
      <c r="H21" s="12">
        <f>H20+F21-G21</f>
        <v>795.97499999999945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0"/>
        <v>45855</v>
      </c>
      <c r="C22" s="13" t="s">
        <v>8</v>
      </c>
      <c r="D22" s="23">
        <f>3434.52+1064</f>
        <v>4498.5200000000004</v>
      </c>
      <c r="E22" s="23">
        <f t="shared" si="1"/>
        <v>3373.8900000000003</v>
      </c>
      <c r="F22" s="23">
        <f t="shared" si="3"/>
        <v>1124.6300000000001</v>
      </c>
      <c r="G22" s="23">
        <f>858.61+266</f>
        <v>1124.6100000000001</v>
      </c>
      <c r="H22" s="12">
        <f t="shared" si="2"/>
        <v>795.99499999999944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>B22+(MOD(B22,7)=6)*2+1</f>
        <v>45856</v>
      </c>
      <c r="C23" s="13" t="s">
        <v>8</v>
      </c>
      <c r="D23" s="23">
        <f>3106.23+2946.22</f>
        <v>6052.45</v>
      </c>
      <c r="E23" s="23">
        <f t="shared" si="1"/>
        <v>4539.3374999999996</v>
      </c>
      <c r="F23" s="23">
        <f t="shared" si="3"/>
        <v>1513.1125</v>
      </c>
      <c r="G23" s="23">
        <f>776.53+736.55</f>
        <v>1513.08</v>
      </c>
      <c r="H23" s="12">
        <f t="shared" si="2"/>
        <v>796.02749999999924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>B23+(MOD(B23,7)=6)*2+1</f>
        <v>45859</v>
      </c>
      <c r="C24" s="13" t="s">
        <v>8</v>
      </c>
      <c r="D24" s="23">
        <f>5569.04+1621.07</f>
        <v>7190.11</v>
      </c>
      <c r="E24" s="23">
        <f t="shared" si="1"/>
        <v>5392.5824999999995</v>
      </c>
      <c r="F24" s="23">
        <f t="shared" si="3"/>
        <v>1797.5274999999999</v>
      </c>
      <c r="G24" s="23">
        <f>1392.23+405.26</f>
        <v>1797.49</v>
      </c>
      <c r="H24" s="12">
        <f>H23+F24-G24</f>
        <v>796.06499999999937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0"/>
        <v>45860</v>
      </c>
      <c r="C25" s="13" t="s">
        <v>8</v>
      </c>
      <c r="D25" s="23">
        <f>9875.42+2930.11</f>
        <v>12805.53</v>
      </c>
      <c r="E25" s="23">
        <f t="shared" si="1"/>
        <v>9604.1475000000009</v>
      </c>
      <c r="F25" s="23">
        <f t="shared" si="3"/>
        <v>3201.3825000000002</v>
      </c>
      <c r="G25" s="23">
        <f>2468.84+732.52</f>
        <v>3201.36</v>
      </c>
      <c r="H25" s="12">
        <f>H24+F25-G25</f>
        <v>796.08749999999918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0"/>
        <v>45861</v>
      </c>
      <c r="C26" s="13" t="s">
        <v>8</v>
      </c>
      <c r="D26" s="23">
        <f>3849.4+3696.5</f>
        <v>7545.9</v>
      </c>
      <c r="E26" s="23">
        <f t="shared" si="1"/>
        <v>5659.4249999999993</v>
      </c>
      <c r="F26" s="23">
        <f t="shared" si="3"/>
        <v>1886.4749999999999</v>
      </c>
      <c r="G26" s="23">
        <f>962.33+924.12</f>
        <v>1886.45</v>
      </c>
      <c r="H26" s="12">
        <f t="shared" si="2"/>
        <v>796.11249999999905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2">
        <f t="shared" si="0"/>
        <v>45862</v>
      </c>
      <c r="C27" s="13" t="s">
        <v>8</v>
      </c>
      <c r="D27" s="23">
        <f>2717.6+2452.52</f>
        <v>5170.12</v>
      </c>
      <c r="E27" s="23">
        <f t="shared" si="1"/>
        <v>3877.59</v>
      </c>
      <c r="F27" s="23">
        <f t="shared" si="3"/>
        <v>1292.53</v>
      </c>
      <c r="G27" s="23">
        <f>679.39+613.12</f>
        <v>1292.51</v>
      </c>
      <c r="H27" s="12">
        <f t="shared" si="2"/>
        <v>796.13249999999903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0"/>
        <v>45863</v>
      </c>
      <c r="C28" s="13" t="s">
        <v>8</v>
      </c>
      <c r="D28" s="23">
        <f>5487.45+123</f>
        <v>5610.45</v>
      </c>
      <c r="E28" s="23">
        <f t="shared" si="1"/>
        <v>4207.8374999999996</v>
      </c>
      <c r="F28" s="23">
        <f t="shared" si="3"/>
        <v>1402.6125</v>
      </c>
      <c r="G28" s="23">
        <f>1371.84+30.75</f>
        <v>1402.59</v>
      </c>
      <c r="H28" s="12">
        <f t="shared" si="2"/>
        <v>796.15499999999906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31"/>
      <c r="B29" s="22">
        <f t="shared" si="0"/>
        <v>45866</v>
      </c>
      <c r="C29" s="13" t="s">
        <v>8</v>
      </c>
      <c r="D29" s="38">
        <f>4345.77+1644</f>
        <v>5989.77</v>
      </c>
      <c r="E29" s="23">
        <f t="shared" si="1"/>
        <v>4492.3275000000003</v>
      </c>
      <c r="F29" s="23">
        <f t="shared" si="3"/>
        <v>1497.4425000000001</v>
      </c>
      <c r="G29" s="23">
        <f>1086.4+411</f>
        <v>1497.4</v>
      </c>
      <c r="H29" s="12">
        <f t="shared" si="2"/>
        <v>796.19749999999885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 x14ac:dyDescent="0.25">
      <c r="A30" s="31"/>
      <c r="B30" s="22">
        <f t="shared" si="0"/>
        <v>45867</v>
      </c>
      <c r="C30" s="13" t="s">
        <v>8</v>
      </c>
      <c r="D30" s="38">
        <f>13415.59+1095.97</f>
        <v>14511.56</v>
      </c>
      <c r="E30" s="23">
        <f t="shared" si="1"/>
        <v>10883.67</v>
      </c>
      <c r="F30" s="23">
        <f t="shared" si="3"/>
        <v>3627.89</v>
      </c>
      <c r="G30" s="23">
        <f>3353.88+273.99</f>
        <v>3627.87</v>
      </c>
      <c r="H30" s="12">
        <f t="shared" si="2"/>
        <v>796.21749999999884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1"/>
      <c r="B31" s="22">
        <f t="shared" si="0"/>
        <v>45868</v>
      </c>
      <c r="C31" s="13" t="s">
        <v>8</v>
      </c>
      <c r="D31" s="38">
        <f>5817.5+5266.16</f>
        <v>11083.66</v>
      </c>
      <c r="E31" s="23">
        <f t="shared" si="1"/>
        <v>8312.744999999999</v>
      </c>
      <c r="F31" s="23">
        <f t="shared" si="3"/>
        <v>2770.915</v>
      </c>
      <c r="G31" s="23">
        <f>1454.34+1316.5</f>
        <v>2770.84</v>
      </c>
      <c r="H31" s="12">
        <f t="shared" si="2"/>
        <v>796.29249999999865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 x14ac:dyDescent="0.25">
      <c r="A32" s="31"/>
      <c r="B32" s="22">
        <f t="shared" si="0"/>
        <v>45869</v>
      </c>
      <c r="C32" s="13" t="s">
        <v>8</v>
      </c>
      <c r="D32" s="38">
        <f>32146.5+326</f>
        <v>32472.5</v>
      </c>
      <c r="E32" s="23">
        <f t="shared" si="1"/>
        <v>24354.375</v>
      </c>
      <c r="F32" s="23">
        <f t="shared" si="3"/>
        <v>8118.125</v>
      </c>
      <c r="G32" s="23">
        <f>8036.32+81.5</f>
        <v>8117.82</v>
      </c>
      <c r="H32" s="12">
        <f>H31+F32-G32</f>
        <v>796.59749999999985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5.75" customHeight="1" x14ac:dyDescent="0.25">
      <c r="A33" s="32" t="s">
        <v>13</v>
      </c>
      <c r="B33" s="22">
        <v>45869</v>
      </c>
      <c r="C33" s="13" t="s">
        <v>11</v>
      </c>
      <c r="D33" s="38">
        <v>17854.27</v>
      </c>
      <c r="E33" s="23">
        <f>D33-F33</f>
        <v>13390.702499999999</v>
      </c>
      <c r="F33" s="23">
        <f t="shared" si="3"/>
        <v>4463.5675000000001</v>
      </c>
      <c r="G33" s="23">
        <v>0</v>
      </c>
      <c r="H33" s="12">
        <f>H32+F33-G33</f>
        <v>5260.165</v>
      </c>
      <c r="I33" s="31"/>
      <c r="J33" s="39">
        <f>H32-H9</f>
        <v>1.2499999999998863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 x14ac:dyDescent="0.25">
      <c r="A34" s="2"/>
      <c r="B34" s="18" t="s">
        <v>9</v>
      </c>
      <c r="C34" s="19"/>
      <c r="D34" s="20">
        <f>SUM(D10:D33)</f>
        <v>221855.58999999997</v>
      </c>
      <c r="E34" s="20">
        <f>SUM(E10:E33)</f>
        <v>166391.6925</v>
      </c>
      <c r="F34" s="20">
        <f>SUM(F10:F33)</f>
        <v>55463.897499999992</v>
      </c>
      <c r="G34" s="14">
        <f>SUM(G10:G33)</f>
        <v>50999.080000000009</v>
      </c>
      <c r="H34" s="12">
        <f>+H33</f>
        <v>5260.165</v>
      </c>
      <c r="I34" s="1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9"/>
      <c r="B35" s="86" t="s">
        <v>10</v>
      </c>
      <c r="C35" s="87"/>
      <c r="D35" s="87"/>
      <c r="E35" s="87"/>
      <c r="F35" s="87"/>
      <c r="G35" s="87"/>
      <c r="H35" s="88"/>
      <c r="I35" s="3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9"/>
      <c r="B36" s="73" t="s">
        <v>122</v>
      </c>
      <c r="C36" s="74"/>
      <c r="D36" s="74"/>
      <c r="E36" s="74"/>
      <c r="F36" s="74"/>
      <c r="G36" s="74"/>
      <c r="H36" s="75"/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1"/>
      <c r="B37" s="73" t="s">
        <v>120</v>
      </c>
      <c r="C37" s="90"/>
      <c r="D37" s="90"/>
      <c r="E37" s="90"/>
      <c r="F37" s="90"/>
      <c r="G37" s="90"/>
      <c r="H37" s="9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customHeight="1" x14ac:dyDescent="0.25">
      <c r="A38" s="31"/>
      <c r="B38" s="82" t="s">
        <v>121</v>
      </c>
      <c r="C38" s="71"/>
      <c r="D38" s="71"/>
      <c r="E38" s="71"/>
      <c r="F38" s="71"/>
      <c r="G38" s="71"/>
      <c r="H38" s="89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 x14ac:dyDescent="0.25">
      <c r="A39" s="31"/>
      <c r="B39" s="82"/>
      <c r="C39" s="71"/>
      <c r="D39" s="71"/>
      <c r="E39" s="71"/>
      <c r="F39" s="71"/>
      <c r="G39" s="71"/>
      <c r="H39" s="89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thickBot="1" x14ac:dyDescent="0.3">
      <c r="A40" s="29"/>
      <c r="B40" s="76"/>
      <c r="C40" s="77"/>
      <c r="D40" s="77"/>
      <c r="E40" s="77"/>
      <c r="F40" s="77"/>
      <c r="G40" s="77"/>
      <c r="H40" s="78"/>
      <c r="I40" s="30"/>
      <c r="J40" s="2"/>
      <c r="K40" s="1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31"/>
      <c r="C41" s="31"/>
      <c r="D41" s="31"/>
      <c r="E41" s="31"/>
      <c r="F41" s="31"/>
      <c r="G41" s="31"/>
      <c r="H41" s="3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7">
    <mergeCell ref="B40:H40"/>
    <mergeCell ref="B7:H7"/>
    <mergeCell ref="B9:G9"/>
    <mergeCell ref="B35:H35"/>
    <mergeCell ref="B36:H36"/>
    <mergeCell ref="B37:H37"/>
    <mergeCell ref="B38:H39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7"/>
  <sheetViews>
    <sheetView topLeftCell="A7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18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27</v>
      </c>
      <c r="C9" s="63"/>
      <c r="D9" s="63"/>
      <c r="E9" s="63"/>
      <c r="F9" s="63"/>
      <c r="G9" s="63"/>
      <c r="H9" s="12">
        <v>8299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45323</v>
      </c>
      <c r="C10" s="13" t="s">
        <v>8</v>
      </c>
      <c r="D10" s="23">
        <v>573872.93000000005</v>
      </c>
      <c r="E10" s="23">
        <f t="shared" ref="E10:E36" si="0">D10-F10</f>
        <v>430406.80000000005</v>
      </c>
      <c r="F10" s="23">
        <v>143466.13</v>
      </c>
      <c r="G10" s="23">
        <f t="shared" ref="G10:G28" si="1">F10</f>
        <v>143466.13</v>
      </c>
      <c r="H10" s="12">
        <f t="shared" ref="H10:H35" si="2">H9+F10-G10</f>
        <v>8299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28" si="3">B10+(MOD(B10,7)=6)*2+1</f>
        <v>45324</v>
      </c>
      <c r="C11" s="13" t="s">
        <v>8</v>
      </c>
      <c r="D11" s="23">
        <v>18568.32</v>
      </c>
      <c r="E11" s="23">
        <f t="shared" si="0"/>
        <v>13926.36</v>
      </c>
      <c r="F11" s="24">
        <v>4641.96</v>
      </c>
      <c r="G11" s="23">
        <f t="shared" si="1"/>
        <v>4641.96</v>
      </c>
      <c r="H11" s="12">
        <f t="shared" si="2"/>
        <v>8299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3"/>
        <v>45327</v>
      </c>
      <c r="C12" s="13" t="s">
        <v>8</v>
      </c>
      <c r="D12" s="23">
        <v>7536.63</v>
      </c>
      <c r="E12" s="23">
        <f t="shared" si="0"/>
        <v>5652.5300000000007</v>
      </c>
      <c r="F12" s="24">
        <v>1884.1</v>
      </c>
      <c r="G12" s="23">
        <f t="shared" si="1"/>
        <v>1884.1</v>
      </c>
      <c r="H12" s="12">
        <f t="shared" si="2"/>
        <v>8299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3"/>
        <v>45328</v>
      </c>
      <c r="C13" s="13" t="s">
        <v>8</v>
      </c>
      <c r="D13" s="23">
        <v>18831.560000000001</v>
      </c>
      <c r="E13" s="23">
        <f t="shared" si="0"/>
        <v>14123.830000000002</v>
      </c>
      <c r="F13" s="24">
        <v>4707.7299999999996</v>
      </c>
      <c r="G13" s="23">
        <f t="shared" si="1"/>
        <v>4707.7299999999996</v>
      </c>
      <c r="H13" s="12">
        <f t="shared" si="2"/>
        <v>8299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3"/>
        <v>45329</v>
      </c>
      <c r="C14" s="13" t="s">
        <v>8</v>
      </c>
      <c r="D14" s="23">
        <v>9398.58</v>
      </c>
      <c r="E14" s="23">
        <f t="shared" si="0"/>
        <v>7049.03</v>
      </c>
      <c r="F14" s="24">
        <v>2349.5500000000002</v>
      </c>
      <c r="G14" s="23">
        <f t="shared" si="1"/>
        <v>2349.5500000000002</v>
      </c>
      <c r="H14" s="12">
        <f t="shared" si="2"/>
        <v>8299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3"/>
        <v>45330</v>
      </c>
      <c r="C15" s="13" t="s">
        <v>8</v>
      </c>
      <c r="D15" s="23">
        <v>9384.84</v>
      </c>
      <c r="E15" s="23">
        <f t="shared" si="0"/>
        <v>7038.74</v>
      </c>
      <c r="F15" s="25">
        <v>2346.1</v>
      </c>
      <c r="G15" s="23">
        <f t="shared" si="1"/>
        <v>2346.1</v>
      </c>
      <c r="H15" s="12">
        <f t="shared" si="2"/>
        <v>8299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3"/>
        <v>45331</v>
      </c>
      <c r="C16" s="13" t="s">
        <v>8</v>
      </c>
      <c r="D16" s="23">
        <v>8032.44</v>
      </c>
      <c r="E16" s="23">
        <f t="shared" si="0"/>
        <v>6024.42</v>
      </c>
      <c r="F16" s="25">
        <v>2008.02</v>
      </c>
      <c r="G16" s="23">
        <f t="shared" si="1"/>
        <v>2008.02</v>
      </c>
      <c r="H16" s="12">
        <f t="shared" si="2"/>
        <v>8299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v>45336</v>
      </c>
      <c r="C17" s="13" t="s">
        <v>8</v>
      </c>
      <c r="D17" s="23">
        <v>9463.2000000000007</v>
      </c>
      <c r="E17" s="23">
        <f t="shared" si="0"/>
        <v>7097.4900000000007</v>
      </c>
      <c r="F17" s="25">
        <v>2365.71</v>
      </c>
      <c r="G17" s="23">
        <f t="shared" si="1"/>
        <v>2365.71</v>
      </c>
      <c r="H17" s="12">
        <f t="shared" si="2"/>
        <v>8299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3"/>
        <v>45337</v>
      </c>
      <c r="C18" s="13" t="s">
        <v>8</v>
      </c>
      <c r="D18" s="23">
        <v>15818.87</v>
      </c>
      <c r="E18" s="23">
        <f t="shared" si="0"/>
        <v>11864.25</v>
      </c>
      <c r="F18" s="25">
        <v>3954.62</v>
      </c>
      <c r="G18" s="23">
        <f t="shared" si="1"/>
        <v>3954.62</v>
      </c>
      <c r="H18" s="12">
        <f t="shared" si="2"/>
        <v>8299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3"/>
        <v>45338</v>
      </c>
      <c r="C19" s="13" t="s">
        <v>8</v>
      </c>
      <c r="D19" s="23">
        <v>6276.29</v>
      </c>
      <c r="E19" s="23">
        <f t="shared" si="0"/>
        <v>4707.28</v>
      </c>
      <c r="F19" s="25">
        <v>1569.01</v>
      </c>
      <c r="G19" s="23">
        <f t="shared" si="1"/>
        <v>1569.01</v>
      </c>
      <c r="H19" s="12">
        <f t="shared" si="2"/>
        <v>8299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3"/>
        <v>45341</v>
      </c>
      <c r="C20" s="13" t="s">
        <v>8</v>
      </c>
      <c r="D20" s="23">
        <v>6731.12</v>
      </c>
      <c r="E20" s="23">
        <f t="shared" si="0"/>
        <v>5048.3899999999994</v>
      </c>
      <c r="F20" s="25">
        <v>1682.73</v>
      </c>
      <c r="G20" s="23">
        <f t="shared" si="1"/>
        <v>1682.73</v>
      </c>
      <c r="H20" s="12">
        <f t="shared" si="2"/>
        <v>8299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3"/>
        <v>45342</v>
      </c>
      <c r="C21" s="13" t="s">
        <v>8</v>
      </c>
      <c r="D21" s="23">
        <v>16028.12</v>
      </c>
      <c r="E21" s="23">
        <f t="shared" si="0"/>
        <v>12021.230000000001</v>
      </c>
      <c r="F21" s="25">
        <v>4006.89</v>
      </c>
      <c r="G21" s="23">
        <f t="shared" si="1"/>
        <v>4006.89</v>
      </c>
      <c r="H21" s="12">
        <f t="shared" si="2"/>
        <v>8299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3"/>
        <v>45343</v>
      </c>
      <c r="C22" s="13" t="s">
        <v>8</v>
      </c>
      <c r="D22" s="23">
        <v>6875.96</v>
      </c>
      <c r="E22" s="23">
        <f t="shared" si="0"/>
        <v>5157.0200000000004</v>
      </c>
      <c r="F22" s="25">
        <v>1718.94</v>
      </c>
      <c r="G22" s="23">
        <f t="shared" si="1"/>
        <v>1718.94</v>
      </c>
      <c r="H22" s="12">
        <f t="shared" si="2"/>
        <v>8299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3"/>
        <v>45344</v>
      </c>
      <c r="C23" s="13" t="s">
        <v>8</v>
      </c>
      <c r="D23" s="23">
        <v>5878.03</v>
      </c>
      <c r="E23" s="23">
        <f t="shared" si="0"/>
        <v>4408.57</v>
      </c>
      <c r="F23" s="25">
        <v>1469.46</v>
      </c>
      <c r="G23" s="23">
        <f t="shared" si="1"/>
        <v>1469.46</v>
      </c>
      <c r="H23" s="12">
        <f t="shared" si="2"/>
        <v>8299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3"/>
        <v>45345</v>
      </c>
      <c r="C24" s="13" t="s">
        <v>8</v>
      </c>
      <c r="D24" s="23">
        <v>5561.21</v>
      </c>
      <c r="E24" s="23">
        <f t="shared" si="0"/>
        <v>4170.95</v>
      </c>
      <c r="F24" s="25">
        <v>1390.26</v>
      </c>
      <c r="G24" s="23">
        <f t="shared" si="1"/>
        <v>1390.26</v>
      </c>
      <c r="H24" s="12">
        <f t="shared" si="2"/>
        <v>8299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3"/>
        <v>45348</v>
      </c>
      <c r="C25" s="13" t="s">
        <v>8</v>
      </c>
      <c r="D25" s="23">
        <v>6319.6</v>
      </c>
      <c r="E25" s="23">
        <f t="shared" si="0"/>
        <v>4739.7400000000007</v>
      </c>
      <c r="F25" s="25">
        <v>1579.86</v>
      </c>
      <c r="G25" s="23">
        <f t="shared" si="1"/>
        <v>1579.86</v>
      </c>
      <c r="H25" s="12">
        <f t="shared" si="2"/>
        <v>8299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3"/>
        <v>45349</v>
      </c>
      <c r="C26" s="13" t="s">
        <v>8</v>
      </c>
      <c r="D26" s="23">
        <v>13254.87</v>
      </c>
      <c r="E26" s="23">
        <f t="shared" si="0"/>
        <v>9941.3100000000013</v>
      </c>
      <c r="F26" s="25">
        <v>3313.56</v>
      </c>
      <c r="G26" s="23">
        <f t="shared" si="1"/>
        <v>3313.56</v>
      </c>
      <c r="H26" s="12">
        <f t="shared" si="2"/>
        <v>8299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3"/>
        <v>45350</v>
      </c>
      <c r="C27" s="13" t="s">
        <v>8</v>
      </c>
      <c r="D27" s="23">
        <v>8751.2000000000007</v>
      </c>
      <c r="E27" s="23">
        <f t="shared" si="0"/>
        <v>6563.4900000000007</v>
      </c>
      <c r="F27" s="25">
        <v>2187.71</v>
      </c>
      <c r="G27" s="23">
        <f t="shared" si="1"/>
        <v>2187.71</v>
      </c>
      <c r="H27" s="12">
        <f t="shared" si="2"/>
        <v>8299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3"/>
        <v>45351</v>
      </c>
      <c r="C28" s="13" t="s">
        <v>8</v>
      </c>
      <c r="D28" s="23">
        <v>31120.27</v>
      </c>
      <c r="E28" s="23">
        <f t="shared" si="0"/>
        <v>23340.57</v>
      </c>
      <c r="F28" s="25">
        <v>7779.7</v>
      </c>
      <c r="G28" s="23">
        <f t="shared" si="1"/>
        <v>7779.7</v>
      </c>
      <c r="H28" s="12">
        <f t="shared" si="2"/>
        <v>8299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 t="s">
        <v>12</v>
      </c>
      <c r="B29" s="22">
        <v>45338</v>
      </c>
      <c r="C29" s="27" t="s">
        <v>20</v>
      </c>
      <c r="D29" s="23">
        <v>0</v>
      </c>
      <c r="E29" s="23">
        <f t="shared" si="0"/>
        <v>0</v>
      </c>
      <c r="F29" s="25">
        <v>0</v>
      </c>
      <c r="G29" s="23">
        <f>6117.04+1209.97</f>
        <v>7327.01</v>
      </c>
      <c r="H29" s="12">
        <f>H28+F29-G29</f>
        <v>971.98999999999978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6" t="s">
        <v>13</v>
      </c>
      <c r="B30" s="22">
        <v>45345</v>
      </c>
      <c r="C30" s="27" t="s">
        <v>19</v>
      </c>
      <c r="D30" s="28">
        <v>-90.98</v>
      </c>
      <c r="E30" s="28">
        <f t="shared" si="0"/>
        <v>-89.160000000000011</v>
      </c>
      <c r="F30" s="25">
        <v>-1.82</v>
      </c>
      <c r="G30" s="23">
        <v>0</v>
      </c>
      <c r="H30" s="12">
        <f>H29+F30-G30</f>
        <v>970.16999999999973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hidden="1" customHeight="1" x14ac:dyDescent="0.25">
      <c r="A31" s="2"/>
      <c r="B31" s="22">
        <v>45291</v>
      </c>
      <c r="C31" s="27" t="s">
        <v>11</v>
      </c>
      <c r="D31" s="23"/>
      <c r="E31" s="23">
        <f t="shared" si="0"/>
        <v>0</v>
      </c>
      <c r="F31" s="25"/>
      <c r="G31" s="23">
        <v>0</v>
      </c>
      <c r="H31" s="12">
        <f t="shared" si="2"/>
        <v>970.16999999999973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hidden="1" customHeight="1" x14ac:dyDescent="0.25">
      <c r="A32" s="2"/>
      <c r="B32" s="22">
        <v>45291</v>
      </c>
      <c r="C32" s="27" t="s">
        <v>11</v>
      </c>
      <c r="D32" s="23"/>
      <c r="E32" s="23">
        <f t="shared" si="0"/>
        <v>0</v>
      </c>
      <c r="F32" s="25"/>
      <c r="G32" s="23">
        <v>0</v>
      </c>
      <c r="H32" s="12">
        <f t="shared" si="2"/>
        <v>970.16999999999973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hidden="1" customHeight="1" x14ac:dyDescent="0.25">
      <c r="A33" s="2"/>
      <c r="B33" s="22">
        <v>45291</v>
      </c>
      <c r="C33" s="27" t="s">
        <v>11</v>
      </c>
      <c r="D33" s="23"/>
      <c r="E33" s="23">
        <f t="shared" si="0"/>
        <v>0</v>
      </c>
      <c r="F33" s="25"/>
      <c r="G33" s="23">
        <v>0</v>
      </c>
      <c r="H33" s="12">
        <f t="shared" si="2"/>
        <v>970.16999999999973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hidden="1" customHeight="1" x14ac:dyDescent="0.25">
      <c r="A34" s="2"/>
      <c r="B34" s="22">
        <v>45291</v>
      </c>
      <c r="C34" s="27" t="s">
        <v>11</v>
      </c>
      <c r="D34" s="23"/>
      <c r="E34" s="23">
        <f t="shared" si="0"/>
        <v>0</v>
      </c>
      <c r="F34" s="25"/>
      <c r="G34" s="23">
        <v>0</v>
      </c>
      <c r="H34" s="12">
        <f t="shared" si="2"/>
        <v>970.16999999999973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hidden="1" customHeight="1" x14ac:dyDescent="0.25">
      <c r="A35" s="2"/>
      <c r="B35" s="22">
        <v>45291</v>
      </c>
      <c r="C35" s="27" t="s">
        <v>11</v>
      </c>
      <c r="D35" s="23"/>
      <c r="E35" s="23">
        <f t="shared" si="0"/>
        <v>0</v>
      </c>
      <c r="F35" s="25"/>
      <c r="G35" s="23">
        <v>0</v>
      </c>
      <c r="H35" s="12">
        <f t="shared" si="2"/>
        <v>970.16999999999973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hidden="1" customHeight="1" x14ac:dyDescent="0.25">
      <c r="A36" s="2"/>
      <c r="B36" s="22" t="e">
        <f>#REF!+(MOD(#REF!,7)=6)*2+1</f>
        <v>#REF!</v>
      </c>
      <c r="C36" s="13" t="s">
        <v>8</v>
      </c>
      <c r="D36" s="23"/>
      <c r="E36" s="23">
        <f t="shared" si="0"/>
        <v>0</v>
      </c>
      <c r="F36" s="25">
        <f>D36*25%</f>
        <v>0</v>
      </c>
      <c r="G36" s="23">
        <f>F36</f>
        <v>0</v>
      </c>
      <c r="H36" s="12">
        <f>H35+F36-G36</f>
        <v>970.16999999999973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18" t="s">
        <v>9</v>
      </c>
      <c r="C37" s="19"/>
      <c r="D37" s="20">
        <f>SUM(D10:D36)</f>
        <v>777613.05999999982</v>
      </c>
      <c r="E37" s="20">
        <f>SUM(E10:E36)</f>
        <v>583192.84</v>
      </c>
      <c r="F37" s="20">
        <f>SUM(F10:F36)</f>
        <v>194420.22</v>
      </c>
      <c r="G37" s="23">
        <f>SUM(G10:G35)</f>
        <v>201749.05000000002</v>
      </c>
      <c r="H37" s="12">
        <f>+H36</f>
        <v>970.16999999999973</v>
      </c>
      <c r="I37" s="16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9"/>
      <c r="B38" s="79" t="s">
        <v>10</v>
      </c>
      <c r="C38" s="80"/>
      <c r="D38" s="80"/>
      <c r="E38" s="80"/>
      <c r="F38" s="80"/>
      <c r="G38" s="80"/>
      <c r="H38" s="81"/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9"/>
      <c r="B39" s="73" t="s">
        <v>21</v>
      </c>
      <c r="C39" s="74"/>
      <c r="D39" s="74"/>
      <c r="E39" s="74"/>
      <c r="F39" s="74"/>
      <c r="G39" s="74"/>
      <c r="H39" s="75"/>
      <c r="I39" s="3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2.25" customHeight="1" x14ac:dyDescent="0.25">
      <c r="A40" s="29"/>
      <c r="B40" s="82" t="s">
        <v>22</v>
      </c>
      <c r="C40" s="74"/>
      <c r="D40" s="74"/>
      <c r="E40" s="74"/>
      <c r="F40" s="74"/>
      <c r="G40" s="74"/>
      <c r="H40" s="75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.75" customHeight="1" x14ac:dyDescent="0.25">
      <c r="A41" s="29"/>
      <c r="B41" s="82" t="s">
        <v>23</v>
      </c>
      <c r="C41" s="74"/>
      <c r="D41" s="74"/>
      <c r="E41" s="74"/>
      <c r="F41" s="74"/>
      <c r="G41" s="74"/>
      <c r="H41" s="75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9"/>
      <c r="B42" s="73"/>
      <c r="C42" s="74"/>
      <c r="D42" s="74"/>
      <c r="E42" s="74"/>
      <c r="F42" s="74"/>
      <c r="G42" s="74"/>
      <c r="H42" s="75"/>
      <c r="I42" s="30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thickBot="1" x14ac:dyDescent="0.3">
      <c r="A43" s="29"/>
      <c r="B43" s="76"/>
      <c r="C43" s="77"/>
      <c r="D43" s="77"/>
      <c r="E43" s="77"/>
      <c r="F43" s="77"/>
      <c r="G43" s="77"/>
      <c r="H43" s="78"/>
      <c r="I43" s="30"/>
      <c r="J43" s="2"/>
      <c r="K43" s="1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31"/>
      <c r="C44" s="31"/>
      <c r="D44" s="31"/>
      <c r="E44" s="31"/>
      <c r="F44" s="31"/>
      <c r="G44" s="31"/>
      <c r="H44" s="3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</sheetData>
  <mergeCells count="8">
    <mergeCell ref="B42:H42"/>
    <mergeCell ref="B43:H43"/>
    <mergeCell ref="B7:H7"/>
    <mergeCell ref="B9:G9"/>
    <mergeCell ref="B38:H38"/>
    <mergeCell ref="B39:H39"/>
    <mergeCell ref="B40:H40"/>
    <mergeCell ref="B41:H41"/>
  </mergeCells>
  <phoneticPr fontId="9" type="noConversion"/>
  <pageMargins left="0.511811024" right="0.511811024" top="0.78740157499999996" bottom="0.78740157499999996" header="0.31496062000000002" footer="0.31496062000000002"/>
  <pageSetup paperSize="9" scale="35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4"/>
  <sheetViews>
    <sheetView topLeftCell="A13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125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130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126</v>
      </c>
      <c r="C9" s="63"/>
      <c r="D9" s="63"/>
      <c r="E9" s="63"/>
      <c r="F9" s="63"/>
      <c r="G9" s="63"/>
      <c r="H9" s="12">
        <f>+'07-2025'!H34</f>
        <v>5260.165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45870</v>
      </c>
      <c r="C10" s="13" t="s">
        <v>8</v>
      </c>
      <c r="D10" s="23">
        <f>6748.82+1556</f>
        <v>8304.82</v>
      </c>
      <c r="E10" s="23">
        <f>D10-F10</f>
        <v>6228.6149999999998</v>
      </c>
      <c r="F10" s="23">
        <f>+D10*0.25</f>
        <v>2076.2049999999999</v>
      </c>
      <c r="G10" s="23">
        <f>1687.16+389</f>
        <v>2076.16</v>
      </c>
      <c r="H10" s="12">
        <f>H9+F10-G10</f>
        <v>5260.21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0" si="0">B10+(MOD(B10,7)=6)*2+1</f>
        <v>45873</v>
      </c>
      <c r="C11" s="13" t="s">
        <v>8</v>
      </c>
      <c r="D11" s="23">
        <f>7733.63+901.86</f>
        <v>8635.49</v>
      </c>
      <c r="E11" s="23">
        <f t="shared" ref="E11:E32" si="1">D11-F11</f>
        <v>6476.6175000000003</v>
      </c>
      <c r="F11" s="23">
        <f>+D11*0.25</f>
        <v>2158.8724999999999</v>
      </c>
      <c r="G11" s="23">
        <f>1933.37+225.46</f>
        <v>2158.83</v>
      </c>
      <c r="H11" s="12">
        <f t="shared" ref="H11:H31" si="2">H10+F11-G11</f>
        <v>5260.2525000000005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45874</v>
      </c>
      <c r="C12" s="13" t="s">
        <v>8</v>
      </c>
      <c r="D12" s="23">
        <f>6232.26+163</f>
        <v>6395.26</v>
      </c>
      <c r="E12" s="23">
        <f t="shared" si="1"/>
        <v>4796.4449999999997</v>
      </c>
      <c r="F12" s="23">
        <f t="shared" ref="F12:F33" si="3">+D12*0.25</f>
        <v>1598.8150000000001</v>
      </c>
      <c r="G12" s="23">
        <f>1558.05+40.75</f>
        <v>1598.8</v>
      </c>
      <c r="H12" s="12">
        <f t="shared" si="2"/>
        <v>5260.2675000000008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45875</v>
      </c>
      <c r="C13" s="13" t="s">
        <v>8</v>
      </c>
      <c r="D13" s="23">
        <f>6558.49+873.01</f>
        <v>7431.5</v>
      </c>
      <c r="E13" s="23">
        <f>D13-F13</f>
        <v>5573.625</v>
      </c>
      <c r="F13" s="23">
        <f>+D13*0.25</f>
        <v>1857.875</v>
      </c>
      <c r="G13" s="23">
        <f>1639.58+218.24</f>
        <v>1857.82</v>
      </c>
      <c r="H13" s="12">
        <f t="shared" si="2"/>
        <v>5260.3225000000011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45876</v>
      </c>
      <c r="C14" s="13" t="s">
        <v>8</v>
      </c>
      <c r="D14" s="23">
        <f>2437.64+652</f>
        <v>3089.64</v>
      </c>
      <c r="E14" s="23">
        <f t="shared" si="1"/>
        <v>2317.23</v>
      </c>
      <c r="F14" s="23">
        <f t="shared" si="3"/>
        <v>772.41</v>
      </c>
      <c r="G14" s="23">
        <f>609.38+163</f>
        <v>772.38</v>
      </c>
      <c r="H14" s="12">
        <f t="shared" si="2"/>
        <v>5260.3525000000009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45877</v>
      </c>
      <c r="C15" s="13" t="s">
        <v>8</v>
      </c>
      <c r="D15" s="23">
        <f>7210.78+1799</f>
        <v>9009.7799999999988</v>
      </c>
      <c r="E15" s="23">
        <f t="shared" si="1"/>
        <v>6757.3349999999991</v>
      </c>
      <c r="F15" s="23">
        <f t="shared" si="3"/>
        <v>2252.4449999999997</v>
      </c>
      <c r="G15" s="23">
        <f>1802.66+449.75</f>
        <v>2252.41</v>
      </c>
      <c r="H15" s="12">
        <f t="shared" si="2"/>
        <v>5260.3875000000007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45880</v>
      </c>
      <c r="C16" s="13" t="s">
        <v>8</v>
      </c>
      <c r="D16" s="23">
        <f>5044.5+5457</f>
        <v>10501.5</v>
      </c>
      <c r="E16" s="23">
        <f t="shared" si="1"/>
        <v>7876.125</v>
      </c>
      <c r="F16" s="23">
        <f t="shared" si="3"/>
        <v>2625.375</v>
      </c>
      <c r="G16" s="23">
        <f>1261.1+1364.25</f>
        <v>2625.35</v>
      </c>
      <c r="H16" s="12">
        <f t="shared" si="2"/>
        <v>5260.4125000000004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0"/>
        <v>45881</v>
      </c>
      <c r="C17" s="13" t="s">
        <v>8</v>
      </c>
      <c r="D17" s="23">
        <f>12180.27+1378.9</f>
        <v>13559.17</v>
      </c>
      <c r="E17" s="23">
        <f t="shared" si="1"/>
        <v>10169.377500000001</v>
      </c>
      <c r="F17" s="23">
        <f t="shared" si="3"/>
        <v>3389.7925</v>
      </c>
      <c r="G17" s="23">
        <f>3044.99+344.71</f>
        <v>3389.7</v>
      </c>
      <c r="H17" s="12">
        <f t="shared" si="2"/>
        <v>5260.5050000000001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0"/>
        <v>45882</v>
      </c>
      <c r="C18" s="13" t="s">
        <v>8</v>
      </c>
      <c r="D18" s="23">
        <f>3302.81+655</f>
        <v>3957.81</v>
      </c>
      <c r="E18" s="23">
        <f t="shared" si="1"/>
        <v>2968.3575000000001</v>
      </c>
      <c r="F18" s="23">
        <f t="shared" si="3"/>
        <v>989.45249999999999</v>
      </c>
      <c r="G18" s="23">
        <f>825.69+163.75</f>
        <v>989.44</v>
      </c>
      <c r="H18" s="12">
        <f t="shared" si="2"/>
        <v>5260.5174999999999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0"/>
        <v>45883</v>
      </c>
      <c r="C19" s="13" t="s">
        <v>8</v>
      </c>
      <c r="D19" s="23">
        <f>2066.1+449</f>
        <v>2515.1</v>
      </c>
      <c r="E19" s="23">
        <f t="shared" si="1"/>
        <v>1886.3249999999998</v>
      </c>
      <c r="F19" s="23">
        <f t="shared" si="3"/>
        <v>628.77499999999998</v>
      </c>
      <c r="G19" s="23">
        <f>516.51+112.25</f>
        <v>628.76</v>
      </c>
      <c r="H19" s="12">
        <f t="shared" si="2"/>
        <v>5260.5324999999993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0"/>
        <v>45884</v>
      </c>
      <c r="C20" s="13" t="s">
        <v>8</v>
      </c>
      <c r="D20" s="23">
        <f>8019.27+815.14</f>
        <v>8834.41</v>
      </c>
      <c r="E20" s="23">
        <f t="shared" si="1"/>
        <v>6625.8074999999999</v>
      </c>
      <c r="F20" s="23">
        <f t="shared" si="3"/>
        <v>2208.6025</v>
      </c>
      <c r="G20" s="23">
        <f>2004.75+203.78</f>
        <v>2208.5300000000002</v>
      </c>
      <c r="H20" s="12">
        <f t="shared" si="2"/>
        <v>5260.6049999999996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45887</v>
      </c>
      <c r="C21" s="13" t="s">
        <v>8</v>
      </c>
      <c r="D21" s="23">
        <f>4410.31+2339.69</f>
        <v>6750</v>
      </c>
      <c r="E21" s="23">
        <f t="shared" si="1"/>
        <v>5062.5</v>
      </c>
      <c r="F21" s="23">
        <f t="shared" si="3"/>
        <v>1687.5</v>
      </c>
      <c r="G21" s="23">
        <f>1102.55+584.92</f>
        <v>1687.4699999999998</v>
      </c>
      <c r="H21" s="12">
        <f>H20+F21-G21</f>
        <v>5260.6350000000002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0"/>
        <v>45888</v>
      </c>
      <c r="C22" s="13" t="s">
        <v>8</v>
      </c>
      <c r="D22" s="23">
        <f>5596.98+1801</f>
        <v>7397.98</v>
      </c>
      <c r="E22" s="23">
        <f t="shared" si="1"/>
        <v>5548.4849999999997</v>
      </c>
      <c r="F22" s="23">
        <f t="shared" si="3"/>
        <v>1849.4949999999999</v>
      </c>
      <c r="G22" s="23">
        <f>1399.2+450.25</f>
        <v>1849.45</v>
      </c>
      <c r="H22" s="12">
        <f t="shared" si="2"/>
        <v>5260.68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>B22+(MOD(B22,7)=6)*2+1</f>
        <v>45889</v>
      </c>
      <c r="C23" s="13" t="s">
        <v>8</v>
      </c>
      <c r="D23" s="23">
        <f>2742.15+1928.7</f>
        <v>4670.8500000000004</v>
      </c>
      <c r="E23" s="23">
        <f t="shared" si="1"/>
        <v>3503.1375000000003</v>
      </c>
      <c r="F23" s="23">
        <f t="shared" si="3"/>
        <v>1167.7125000000001</v>
      </c>
      <c r="G23" s="23">
        <f>685.52+482.17</f>
        <v>1167.69</v>
      </c>
      <c r="H23" s="12">
        <f t="shared" si="2"/>
        <v>5260.7024999999994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>B23+(MOD(B23,7)=6)*2+1</f>
        <v>45890</v>
      </c>
      <c r="C24" s="13" t="s">
        <v>8</v>
      </c>
      <c r="D24" s="23">
        <f>5160.97+326</f>
        <v>5486.97</v>
      </c>
      <c r="E24" s="23">
        <f t="shared" si="1"/>
        <v>4115.2275</v>
      </c>
      <c r="F24" s="23">
        <f t="shared" si="3"/>
        <v>1371.7425000000001</v>
      </c>
      <c r="G24" s="23">
        <f>1290.21+81.5</f>
        <v>1371.71</v>
      </c>
      <c r="H24" s="12">
        <f>H23+F24-G24</f>
        <v>5260.7349999999997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0"/>
        <v>45891</v>
      </c>
      <c r="C25" s="13" t="s">
        <v>8</v>
      </c>
      <c r="D25" s="23">
        <f>2094.88+2364</f>
        <v>4458.88</v>
      </c>
      <c r="E25" s="23">
        <f t="shared" si="1"/>
        <v>3344.16</v>
      </c>
      <c r="F25" s="23">
        <f t="shared" si="3"/>
        <v>1114.72</v>
      </c>
      <c r="G25" s="23">
        <f>523.71+591</f>
        <v>1114.71</v>
      </c>
      <c r="H25" s="12">
        <f>H24+F25-G25</f>
        <v>5260.7449999999999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0"/>
        <v>45894</v>
      </c>
      <c r="C26" s="13" t="s">
        <v>8</v>
      </c>
      <c r="D26" s="23">
        <f>7613.89+489</f>
        <v>8102.89</v>
      </c>
      <c r="E26" s="23">
        <f t="shared" si="1"/>
        <v>6077.1675000000005</v>
      </c>
      <c r="F26" s="23">
        <f t="shared" si="3"/>
        <v>2025.7225000000001</v>
      </c>
      <c r="G26" s="23">
        <f>1903.46+122.25</f>
        <v>2025.71</v>
      </c>
      <c r="H26" s="12">
        <f t="shared" si="2"/>
        <v>5260.7574999999997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2">
        <f t="shared" si="0"/>
        <v>45895</v>
      </c>
      <c r="C27" s="13" t="s">
        <v>8</v>
      </c>
      <c r="D27" s="23">
        <f>8640.15+1473</f>
        <v>10113.15</v>
      </c>
      <c r="E27" s="23">
        <f t="shared" si="1"/>
        <v>7584.8624999999993</v>
      </c>
      <c r="F27" s="23">
        <f t="shared" si="3"/>
        <v>2528.2874999999999</v>
      </c>
      <c r="G27" s="23">
        <f>2159.99+368.25</f>
        <v>2528.2399999999998</v>
      </c>
      <c r="H27" s="12">
        <f t="shared" si="2"/>
        <v>5260.8050000000003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0"/>
        <v>45896</v>
      </c>
      <c r="C28" s="13" t="s">
        <v>8</v>
      </c>
      <c r="D28" s="23">
        <f>4487.03+2088</f>
        <v>6575.03</v>
      </c>
      <c r="E28" s="23">
        <f t="shared" si="1"/>
        <v>4931.2725</v>
      </c>
      <c r="F28" s="23">
        <f t="shared" si="3"/>
        <v>1643.7574999999999</v>
      </c>
      <c r="G28" s="23">
        <f>1121.75+522</f>
        <v>1643.75</v>
      </c>
      <c r="H28" s="12">
        <f t="shared" si="2"/>
        <v>5260.8125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31"/>
      <c r="B29" s="22">
        <f t="shared" si="0"/>
        <v>45897</v>
      </c>
      <c r="C29" s="13" t="s">
        <v>8</v>
      </c>
      <c r="D29" s="38">
        <f>5448.84+2870</f>
        <v>8318.84</v>
      </c>
      <c r="E29" s="23">
        <f t="shared" si="1"/>
        <v>6239.13</v>
      </c>
      <c r="F29" s="23">
        <f t="shared" si="3"/>
        <v>2079.71</v>
      </c>
      <c r="G29" s="23">
        <f>1362.2+717.5</f>
        <v>2079.6999999999998</v>
      </c>
      <c r="H29" s="12">
        <f t="shared" si="2"/>
        <v>5260.8225000000002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 x14ac:dyDescent="0.25">
      <c r="A30" s="31"/>
      <c r="B30" s="22">
        <f t="shared" si="0"/>
        <v>45898</v>
      </c>
      <c r="C30" s="13" t="s">
        <v>8</v>
      </c>
      <c r="D30" s="38">
        <f>7097.31+941</f>
        <v>8038.31</v>
      </c>
      <c r="E30" s="23">
        <f t="shared" si="1"/>
        <v>6028.7325000000001</v>
      </c>
      <c r="F30" s="23">
        <f t="shared" si="3"/>
        <v>2009.5775000000001</v>
      </c>
      <c r="G30" s="23">
        <f>1774.28+235.25</f>
        <v>2009.53</v>
      </c>
      <c r="H30" s="12">
        <f t="shared" si="2"/>
        <v>5260.8700000000008</v>
      </c>
      <c r="I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2" t="s">
        <v>13</v>
      </c>
      <c r="B31" s="22">
        <v>45900</v>
      </c>
      <c r="C31" s="13" t="s">
        <v>8</v>
      </c>
      <c r="D31" s="38">
        <v>11341.88</v>
      </c>
      <c r="E31" s="23">
        <f t="shared" si="1"/>
        <v>8506.41</v>
      </c>
      <c r="F31" s="23">
        <f t="shared" si="3"/>
        <v>2835.47</v>
      </c>
      <c r="G31" s="23">
        <v>0</v>
      </c>
      <c r="H31" s="12">
        <f t="shared" si="2"/>
        <v>8096.34</v>
      </c>
      <c r="I31" s="31"/>
      <c r="J31" s="39">
        <f>H30-H9</f>
        <v>0.70500000000083674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hidden="1" customHeight="1" x14ac:dyDescent="0.25">
      <c r="A32" s="31"/>
      <c r="B32" s="22"/>
      <c r="C32" s="13" t="s">
        <v>8</v>
      </c>
      <c r="D32" s="38">
        <v>0</v>
      </c>
      <c r="E32" s="23">
        <f t="shared" si="1"/>
        <v>0</v>
      </c>
      <c r="F32" s="23">
        <f t="shared" si="3"/>
        <v>0</v>
      </c>
      <c r="G32" s="23">
        <v>0</v>
      </c>
      <c r="H32" s="12">
        <f>H31+F32-G32</f>
        <v>8096.34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5.75" hidden="1" customHeight="1" x14ac:dyDescent="0.25">
      <c r="B33" s="22"/>
      <c r="C33" s="13" t="s">
        <v>11</v>
      </c>
      <c r="D33" s="38">
        <v>0</v>
      </c>
      <c r="E33" s="23">
        <f>D33-F33</f>
        <v>0</v>
      </c>
      <c r="F33" s="23">
        <f t="shared" si="3"/>
        <v>0</v>
      </c>
      <c r="G33" s="23">
        <v>0</v>
      </c>
      <c r="H33" s="12">
        <f>H32+F33-G33</f>
        <v>8096.34</v>
      </c>
      <c r="I33" s="31"/>
      <c r="J33" s="39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 x14ac:dyDescent="0.25">
      <c r="A34" s="2"/>
      <c r="B34" s="18" t="s">
        <v>9</v>
      </c>
      <c r="C34" s="19"/>
      <c r="D34" s="20">
        <f>SUM(D10:D33)</f>
        <v>163489.26</v>
      </c>
      <c r="E34" s="20">
        <f>SUM(E10:E33)</f>
        <v>122616.94499999999</v>
      </c>
      <c r="F34" s="20">
        <f>SUM(F10:F33)</f>
        <v>40872.315000000002</v>
      </c>
      <c r="G34" s="14">
        <f>SUM(G10:G33)</f>
        <v>38036.139999999992</v>
      </c>
      <c r="H34" s="12">
        <f>+H33</f>
        <v>8096.34</v>
      </c>
      <c r="I34" s="1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9"/>
      <c r="B35" s="86" t="s">
        <v>10</v>
      </c>
      <c r="C35" s="87"/>
      <c r="D35" s="87"/>
      <c r="E35" s="87"/>
      <c r="F35" s="87"/>
      <c r="G35" s="87"/>
      <c r="H35" s="88"/>
      <c r="I35" s="3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9"/>
      <c r="B36" s="73" t="s">
        <v>127</v>
      </c>
      <c r="C36" s="74"/>
      <c r="D36" s="74"/>
      <c r="E36" s="74"/>
      <c r="F36" s="74"/>
      <c r="G36" s="74"/>
      <c r="H36" s="75"/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1"/>
      <c r="B37" s="73" t="s">
        <v>141</v>
      </c>
      <c r="C37" s="90"/>
      <c r="D37" s="90"/>
      <c r="E37" s="90"/>
      <c r="F37" s="90"/>
      <c r="G37" s="90"/>
      <c r="H37" s="9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customHeight="1" x14ac:dyDescent="0.25">
      <c r="A38" s="31"/>
      <c r="B38" s="82" t="s">
        <v>129</v>
      </c>
      <c r="C38" s="71"/>
      <c r="D38" s="71"/>
      <c r="E38" s="71"/>
      <c r="F38" s="71"/>
      <c r="G38" s="71"/>
      <c r="H38" s="89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 x14ac:dyDescent="0.25">
      <c r="A39" s="31"/>
      <c r="B39" s="82"/>
      <c r="C39" s="71"/>
      <c r="D39" s="71"/>
      <c r="E39" s="71"/>
      <c r="F39" s="71"/>
      <c r="G39" s="71"/>
      <c r="H39" s="89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thickBot="1" x14ac:dyDescent="0.3">
      <c r="A40" s="29"/>
      <c r="B40" s="76"/>
      <c r="C40" s="77"/>
      <c r="D40" s="77"/>
      <c r="E40" s="77"/>
      <c r="F40" s="77"/>
      <c r="G40" s="77"/>
      <c r="H40" s="78"/>
      <c r="I40" s="30"/>
      <c r="J40" s="2"/>
      <c r="K40" s="1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31"/>
      <c r="C41" s="31"/>
      <c r="D41" s="31"/>
      <c r="E41" s="31"/>
      <c r="F41" s="31"/>
      <c r="G41" s="31"/>
      <c r="H41" s="3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7">
    <mergeCell ref="B40:H40"/>
    <mergeCell ref="B7:H7"/>
    <mergeCell ref="B9:G9"/>
    <mergeCell ref="B35:H35"/>
    <mergeCell ref="B36:H36"/>
    <mergeCell ref="B37:H37"/>
    <mergeCell ref="B38:H39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FD1004"/>
  <sheetViews>
    <sheetView topLeftCell="A8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131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132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133</v>
      </c>
      <c r="C9" s="63"/>
      <c r="D9" s="63"/>
      <c r="E9" s="63"/>
      <c r="F9" s="63"/>
      <c r="G9" s="63"/>
      <c r="H9" s="12">
        <v>2836.18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45901</v>
      </c>
      <c r="C10" s="13" t="s">
        <v>8</v>
      </c>
      <c r="D10" s="23">
        <f>16145.37+1915.1</f>
        <v>18060.47</v>
      </c>
      <c r="E10" s="23">
        <f>D10-F10</f>
        <v>13545.352500000001</v>
      </c>
      <c r="F10" s="23">
        <f>+D10*0.25</f>
        <v>4515.1175000000003</v>
      </c>
      <c r="G10" s="23">
        <f>4036.22+478.76</f>
        <v>4514.9799999999996</v>
      </c>
      <c r="H10" s="12">
        <f>H9+F10-G10</f>
        <v>2836.317500000001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0">B10+(MOD(B10,7)=6)*2+1</f>
        <v>45902</v>
      </c>
      <c r="C11" s="13" t="s">
        <v>8</v>
      </c>
      <c r="D11" s="23">
        <f>33593.84+163</f>
        <v>33756.839999999997</v>
      </c>
      <c r="E11" s="23">
        <f t="shared" ref="E11:E33" si="1">D11-F11</f>
        <v>25317.629999999997</v>
      </c>
      <c r="F11" s="23">
        <f>+D11*0.25</f>
        <v>8439.2099999999991</v>
      </c>
      <c r="G11" s="23">
        <f>8398.16+40.75</f>
        <v>8438.91</v>
      </c>
      <c r="H11" s="12">
        <f t="shared" ref="H11:H31" si="2">H10+F11-G11</f>
        <v>2836.6175000000003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45903</v>
      </c>
      <c r="C12" s="13" t="s">
        <v>8</v>
      </c>
      <c r="D12" s="23">
        <f>3825.18+1267</f>
        <v>5092.18</v>
      </c>
      <c r="E12" s="23">
        <f t="shared" si="1"/>
        <v>3819.1350000000002</v>
      </c>
      <c r="F12" s="23">
        <f t="shared" ref="F12:F33" si="3">+D12*0.25</f>
        <v>1273.0450000000001</v>
      </c>
      <c r="G12" s="23">
        <f>956.25+316.75</f>
        <v>1273</v>
      </c>
      <c r="H12" s="12">
        <f t="shared" si="2"/>
        <v>2836.6625000000004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45904</v>
      </c>
      <c r="C13" s="13" t="s">
        <v>8</v>
      </c>
      <c r="D13" s="23">
        <f>6057.69+286</f>
        <v>6343.69</v>
      </c>
      <c r="E13" s="23">
        <f>D13-F13</f>
        <v>4757.7674999999999</v>
      </c>
      <c r="F13" s="23">
        <f>+D13*0.25</f>
        <v>1585.9224999999999</v>
      </c>
      <c r="G13" s="23">
        <f>1514.4+71.5</f>
        <v>1585.9</v>
      </c>
      <c r="H13" s="12">
        <f t="shared" si="2"/>
        <v>2836.6849999999999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45905</v>
      </c>
      <c r="C14" s="13" t="s">
        <v>8</v>
      </c>
      <c r="D14" s="23">
        <f>10306.58+1187</f>
        <v>11493.58</v>
      </c>
      <c r="E14" s="23">
        <f t="shared" si="1"/>
        <v>8620.1849999999995</v>
      </c>
      <c r="F14" s="23">
        <f t="shared" si="3"/>
        <v>2873.395</v>
      </c>
      <c r="G14" s="23">
        <f>2576.58+296.75</f>
        <v>2873.33</v>
      </c>
      <c r="H14" s="12">
        <f t="shared" si="2"/>
        <v>2836.75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45908</v>
      </c>
      <c r="C15" s="13" t="s">
        <v>8</v>
      </c>
      <c r="D15" s="23">
        <f>22149.92+489</f>
        <v>22638.92</v>
      </c>
      <c r="E15" s="23">
        <f t="shared" si="1"/>
        <v>16979.189999999999</v>
      </c>
      <c r="F15" s="23">
        <f t="shared" si="3"/>
        <v>5659.73</v>
      </c>
      <c r="G15" s="23">
        <f>5537.42+122.25</f>
        <v>5659.67</v>
      </c>
      <c r="H15" s="12">
        <f t="shared" si="2"/>
        <v>2836.8099999999995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45909</v>
      </c>
      <c r="C16" s="13" t="s">
        <v>8</v>
      </c>
      <c r="D16" s="23">
        <f>3555.75+1702.66</f>
        <v>5258.41</v>
      </c>
      <c r="E16" s="23">
        <f t="shared" si="1"/>
        <v>3943.8074999999999</v>
      </c>
      <c r="F16" s="23">
        <f t="shared" si="3"/>
        <v>1314.6025</v>
      </c>
      <c r="G16" s="23">
        <f>888.89+425.66</f>
        <v>1314.55</v>
      </c>
      <c r="H16" s="12">
        <f t="shared" si="2"/>
        <v>2836.8624999999993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 16384:16384" x14ac:dyDescent="0.25">
      <c r="A17" s="2"/>
      <c r="B17" s="22">
        <f t="shared" si="0"/>
        <v>45910</v>
      </c>
      <c r="C17" s="13" t="s">
        <v>8</v>
      </c>
      <c r="D17" s="23">
        <f>4355.35+2703</f>
        <v>7058.35</v>
      </c>
      <c r="E17" s="23">
        <f t="shared" si="1"/>
        <v>5293.7625000000007</v>
      </c>
      <c r="F17" s="23">
        <f t="shared" si="3"/>
        <v>1764.5875000000001</v>
      </c>
      <c r="G17" s="23">
        <f>1088.8+675.75</f>
        <v>1764.55</v>
      </c>
      <c r="H17" s="12">
        <f t="shared" si="2"/>
        <v>2836.8999999999987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 16384:16384" x14ac:dyDescent="0.25">
      <c r="A18" s="2"/>
      <c r="B18" s="22">
        <f t="shared" si="0"/>
        <v>45911</v>
      </c>
      <c r="C18" s="13" t="s">
        <v>8</v>
      </c>
      <c r="D18" s="23">
        <f>5799.89+453.19</f>
        <v>6253.08</v>
      </c>
      <c r="E18" s="23">
        <f t="shared" si="1"/>
        <v>4689.8099999999995</v>
      </c>
      <c r="F18" s="23">
        <f t="shared" si="3"/>
        <v>1563.27</v>
      </c>
      <c r="G18" s="23">
        <f>1449.89+113.29</f>
        <v>1563.18</v>
      </c>
      <c r="H18" s="12">
        <f t="shared" si="2"/>
        <v>2836.989999999998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 t="shared" si="0"/>
        <v>45912</v>
      </c>
      <c r="C19" s="13" t="s">
        <v>8</v>
      </c>
      <c r="D19" s="23">
        <f>1062.61+1369.59</f>
        <v>2432.1999999999998</v>
      </c>
      <c r="E19" s="23">
        <f t="shared" si="1"/>
        <v>1824.1499999999999</v>
      </c>
      <c r="F19" s="23">
        <f t="shared" si="3"/>
        <v>608.04999999999995</v>
      </c>
      <c r="G19" s="23">
        <f>265.64+342.39</f>
        <v>608.03</v>
      </c>
      <c r="H19" s="12">
        <f t="shared" si="2"/>
        <v>2837.0099999999984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0"/>
        <v>45915</v>
      </c>
      <c r="C20" s="13" t="s">
        <v>8</v>
      </c>
      <c r="D20" s="23">
        <f>3061.5+163</f>
        <v>3224.5</v>
      </c>
      <c r="E20" s="23">
        <f t="shared" si="1"/>
        <v>2418.375</v>
      </c>
      <c r="F20" s="23">
        <f t="shared" si="3"/>
        <v>806.125</v>
      </c>
      <c r="G20" s="23">
        <f>765.35+40.75</f>
        <v>806.1</v>
      </c>
      <c r="H20" s="12">
        <f t="shared" si="2"/>
        <v>2837.0349999999985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ht="15.75" customHeight="1" x14ac:dyDescent="0.25">
      <c r="A21" s="2"/>
      <c r="B21" s="22">
        <f>B20+(MOD(B20,7)=6)*2+1</f>
        <v>45916</v>
      </c>
      <c r="C21" s="13" t="s">
        <v>8</v>
      </c>
      <c r="D21" s="23">
        <f>8133.7+612</f>
        <v>8745.7000000000007</v>
      </c>
      <c r="E21" s="23">
        <f t="shared" si="1"/>
        <v>6559.2750000000005</v>
      </c>
      <c r="F21" s="23">
        <f t="shared" si="3"/>
        <v>2186.4250000000002</v>
      </c>
      <c r="G21" s="23">
        <f>2033.37+153</f>
        <v>2186.37</v>
      </c>
      <c r="H21" s="12">
        <f>H20+F21-G21</f>
        <v>2837.0899999999992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x14ac:dyDescent="0.25">
      <c r="A22" s="2"/>
      <c r="B22" s="22">
        <f t="shared" si="0"/>
        <v>45917</v>
      </c>
      <c r="C22" s="13" t="s">
        <v>8</v>
      </c>
      <c r="D22" s="23">
        <f>7758.95+652</f>
        <v>8410.9500000000007</v>
      </c>
      <c r="E22" s="23">
        <f t="shared" si="1"/>
        <v>6308.2125000000005</v>
      </c>
      <c r="F22" s="23">
        <f t="shared" si="3"/>
        <v>2102.7375000000002</v>
      </c>
      <c r="G22" s="23">
        <f>1939.71+163</f>
        <v>2102.71</v>
      </c>
      <c r="H22" s="12">
        <f t="shared" si="2"/>
        <v>2837.1174999999994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x14ac:dyDescent="0.25">
      <c r="A23" s="2"/>
      <c r="B23" s="22">
        <f>B22+(MOD(B22,7)=6)*2+1</f>
        <v>45918</v>
      </c>
      <c r="C23" s="13" t="s">
        <v>8</v>
      </c>
      <c r="D23" s="23">
        <f>5006.79+326</f>
        <v>5332.79</v>
      </c>
      <c r="E23" s="23">
        <f t="shared" si="1"/>
        <v>3999.5924999999997</v>
      </c>
      <c r="F23" s="23">
        <f t="shared" si="3"/>
        <v>1333.1975</v>
      </c>
      <c r="G23" s="23">
        <f>1251.68+81.5</f>
        <v>1333.18</v>
      </c>
      <c r="H23" s="12">
        <f t="shared" si="2"/>
        <v>2837.1349999999993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ht="15.75" customHeight="1" x14ac:dyDescent="0.25">
      <c r="A24" s="2"/>
      <c r="B24" s="22">
        <f>B23+(MOD(B23,7)=6)*2+1</f>
        <v>45919</v>
      </c>
      <c r="C24" s="13" t="s">
        <v>8</v>
      </c>
      <c r="D24" s="23">
        <f>4984.45+326</f>
        <v>5310.45</v>
      </c>
      <c r="E24" s="23">
        <f t="shared" si="1"/>
        <v>3982.8374999999996</v>
      </c>
      <c r="F24" s="23">
        <f t="shared" si="3"/>
        <v>1327.6125</v>
      </c>
      <c r="G24" s="23">
        <f>1246.1+81.5</f>
        <v>1327.6</v>
      </c>
      <c r="H24" s="12">
        <f>H23+F24-G24</f>
        <v>2837.1474999999996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ht="15.75" customHeight="1" x14ac:dyDescent="0.25">
      <c r="A25" s="2"/>
      <c r="B25" s="22">
        <f t="shared" si="0"/>
        <v>45922</v>
      </c>
      <c r="C25" s="13" t="s">
        <v>8</v>
      </c>
      <c r="D25" s="23">
        <f>2793.4+906</f>
        <v>3699.4</v>
      </c>
      <c r="E25" s="23">
        <f t="shared" si="1"/>
        <v>2774.55</v>
      </c>
      <c r="F25" s="23">
        <f t="shared" si="3"/>
        <v>924.85</v>
      </c>
      <c r="G25" s="23">
        <f>698.34+226.5</f>
        <v>924.84</v>
      </c>
      <c r="H25" s="12">
        <f>H24+F25-G25</f>
        <v>2837.1574999999993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x14ac:dyDescent="0.25">
      <c r="A26" s="2"/>
      <c r="B26" s="22">
        <f t="shared" si="0"/>
        <v>45923</v>
      </c>
      <c r="C26" s="13" t="s">
        <v>8</v>
      </c>
      <c r="D26" s="23">
        <f>9440.19</f>
        <v>9440.19</v>
      </c>
      <c r="E26" s="23">
        <f t="shared" si="1"/>
        <v>7080.1424999999999</v>
      </c>
      <c r="F26" s="23">
        <f t="shared" si="3"/>
        <v>2360.0475000000001</v>
      </c>
      <c r="G26" s="23">
        <f>2359.99</f>
        <v>2359.9899999999998</v>
      </c>
      <c r="H26" s="12">
        <f t="shared" si="2"/>
        <v>2837.2150000000001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x14ac:dyDescent="0.25">
      <c r="A27" s="2"/>
      <c r="B27" s="22">
        <f t="shared" si="0"/>
        <v>45924</v>
      </c>
      <c r="C27" s="13" t="s">
        <v>8</v>
      </c>
      <c r="D27" s="23">
        <f>8179.06+326</f>
        <v>8505.0600000000013</v>
      </c>
      <c r="E27" s="23">
        <f>D27-F27</f>
        <v>6378.795000000001</v>
      </c>
      <c r="F27" s="23">
        <f t="shared" si="3"/>
        <v>2126.2650000000003</v>
      </c>
      <c r="G27" s="23">
        <f>2044.75+81.5</f>
        <v>2126.25</v>
      </c>
      <c r="H27" s="12">
        <f t="shared" si="2"/>
        <v>2837.2300000000005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x14ac:dyDescent="0.25">
      <c r="A28" s="32" t="s">
        <v>12</v>
      </c>
      <c r="B28" s="41">
        <v>45924</v>
      </c>
      <c r="C28" s="42" t="s">
        <v>11</v>
      </c>
      <c r="D28" s="43">
        <v>11341.88</v>
      </c>
      <c r="E28" s="44">
        <f>D28-F28</f>
        <v>8506.41</v>
      </c>
      <c r="F28" s="44">
        <f t="shared" si="3"/>
        <v>2835.47</v>
      </c>
      <c r="G28" s="44">
        <v>2836.18</v>
      </c>
      <c r="H28" s="40">
        <f t="shared" si="2"/>
        <v>2836.5200000000009</v>
      </c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 16384:16384" ht="15.75" customHeight="1" x14ac:dyDescent="0.25">
      <c r="A29" s="2"/>
      <c r="B29" s="22">
        <f>B27+(MOD(B27,7)=6)*2+1</f>
        <v>45925</v>
      </c>
      <c r="C29" s="13" t="s">
        <v>8</v>
      </c>
      <c r="D29" s="23">
        <f>1187.76+615</f>
        <v>1802.76</v>
      </c>
      <c r="E29" s="23">
        <f t="shared" si="1"/>
        <v>1352.07</v>
      </c>
      <c r="F29" s="23">
        <f t="shared" si="3"/>
        <v>450.69</v>
      </c>
      <c r="G29" s="23">
        <f>296.93+153.75</f>
        <v>450.68</v>
      </c>
      <c r="H29" s="12">
        <f t="shared" si="2"/>
        <v>2836.5300000000011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XFD29">
        <f>SUM(A29:XFC29)</f>
        <v>52817.73</v>
      </c>
    </row>
    <row r="30" spans="1:26 16384:16384" ht="15.75" customHeight="1" x14ac:dyDescent="0.25">
      <c r="A30" s="31"/>
      <c r="B30" s="22">
        <f t="shared" si="0"/>
        <v>45926</v>
      </c>
      <c r="C30" s="13" t="s">
        <v>8</v>
      </c>
      <c r="D30" s="38">
        <f>4260.07+492</f>
        <v>4752.07</v>
      </c>
      <c r="E30" s="23">
        <f t="shared" si="1"/>
        <v>3564.0524999999998</v>
      </c>
      <c r="F30" s="23">
        <f t="shared" si="3"/>
        <v>1188.0174999999999</v>
      </c>
      <c r="G30" s="23">
        <f>1064.99+123</f>
        <v>1187.99</v>
      </c>
      <c r="H30" s="12">
        <f t="shared" si="2"/>
        <v>2836.5575000000008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 16384:16384" ht="15.75" customHeight="1" x14ac:dyDescent="0.25">
      <c r="A31" s="31"/>
      <c r="B31" s="22">
        <f t="shared" si="0"/>
        <v>45929</v>
      </c>
      <c r="C31" s="13" t="s">
        <v>8</v>
      </c>
      <c r="D31" s="38">
        <f>3384.03+978</f>
        <v>4362.0300000000007</v>
      </c>
      <c r="E31" s="23">
        <f t="shared" si="1"/>
        <v>3271.5225000000005</v>
      </c>
      <c r="F31" s="23">
        <f t="shared" si="3"/>
        <v>1090.5075000000002</v>
      </c>
      <c r="G31" s="23">
        <f>845.97+244.5</f>
        <v>1090.47</v>
      </c>
      <c r="H31" s="12">
        <f t="shared" si="2"/>
        <v>2836.5950000000012</v>
      </c>
      <c r="I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 16384:16384" ht="15.75" customHeight="1" x14ac:dyDescent="0.25">
      <c r="B32" s="22">
        <f t="shared" si="0"/>
        <v>45930</v>
      </c>
      <c r="C32" s="13" t="s">
        <v>8</v>
      </c>
      <c r="D32" s="38">
        <f>10218.75+1442.77</f>
        <v>11661.52</v>
      </c>
      <c r="E32" s="23">
        <f t="shared" si="1"/>
        <v>8746.14</v>
      </c>
      <c r="F32" s="23">
        <f t="shared" si="3"/>
        <v>2915.38</v>
      </c>
      <c r="G32" s="23">
        <f>2554.58+360.68</f>
        <v>2915.2599999999998</v>
      </c>
      <c r="H32" s="12">
        <f>H31+F32-G32</f>
        <v>2836.7150000000015</v>
      </c>
      <c r="I32" s="39"/>
      <c r="J32" s="39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x14ac:dyDescent="0.25">
      <c r="A33" s="32" t="s">
        <v>13</v>
      </c>
      <c r="B33" s="22">
        <v>45930</v>
      </c>
      <c r="C33" s="13" t="s">
        <v>8</v>
      </c>
      <c r="D33" s="38">
        <v>13052.66</v>
      </c>
      <c r="E33" s="23">
        <f t="shared" si="1"/>
        <v>9789.494999999999</v>
      </c>
      <c r="F33" s="23">
        <f t="shared" si="3"/>
        <v>3263.165</v>
      </c>
      <c r="G33" s="23">
        <v>0</v>
      </c>
      <c r="H33" s="12">
        <f>F33+H32-H9</f>
        <v>3263.7000000000012</v>
      </c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 x14ac:dyDescent="0.25">
      <c r="A34" s="2"/>
      <c r="B34" s="18" t="s">
        <v>9</v>
      </c>
      <c r="C34" s="19"/>
      <c r="D34" s="20">
        <f>SUM(D10:D33)</f>
        <v>218029.68000000002</v>
      </c>
      <c r="E34" s="20">
        <f>SUM(E10:E33)</f>
        <v>163522.25999999995</v>
      </c>
      <c r="F34" s="20">
        <f>SUM(F10:F33)</f>
        <v>54507.420000000006</v>
      </c>
      <c r="G34" s="14">
        <f>SUM(G10:G33)</f>
        <v>51243.719999999994</v>
      </c>
      <c r="H34" s="12">
        <f>H33</f>
        <v>3263.7000000000012</v>
      </c>
      <c r="I34" s="1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9"/>
      <c r="B35" s="86" t="s">
        <v>10</v>
      </c>
      <c r="C35" s="87"/>
      <c r="D35" s="87"/>
      <c r="E35" s="87"/>
      <c r="F35" s="87"/>
      <c r="G35" s="87"/>
      <c r="H35" s="88"/>
      <c r="I35" s="3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9"/>
      <c r="B36" s="73" t="s">
        <v>135</v>
      </c>
      <c r="C36" s="74"/>
      <c r="D36" s="74"/>
      <c r="E36" s="74"/>
      <c r="F36" s="74"/>
      <c r="G36" s="74"/>
      <c r="H36" s="75"/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1"/>
      <c r="B37" s="73" t="s">
        <v>128</v>
      </c>
      <c r="C37" s="90"/>
      <c r="D37" s="90"/>
      <c r="E37" s="90"/>
      <c r="F37" s="90"/>
      <c r="G37" s="90"/>
      <c r="H37" s="9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customHeight="1" x14ac:dyDescent="0.25">
      <c r="A38" s="31"/>
      <c r="B38" s="82" t="s">
        <v>136</v>
      </c>
      <c r="C38" s="71"/>
      <c r="D38" s="71"/>
      <c r="E38" s="71"/>
      <c r="F38" s="71"/>
      <c r="G38" s="71"/>
      <c r="H38" s="89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 x14ac:dyDescent="0.25">
      <c r="A39" s="31"/>
      <c r="B39" s="82"/>
      <c r="C39" s="71"/>
      <c r="D39" s="71"/>
      <c r="E39" s="71"/>
      <c r="F39" s="71"/>
      <c r="G39" s="71"/>
      <c r="H39" s="89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thickBot="1" x14ac:dyDescent="0.3">
      <c r="A40" s="29"/>
      <c r="B40" s="76"/>
      <c r="C40" s="77"/>
      <c r="D40" s="77"/>
      <c r="E40" s="77"/>
      <c r="F40" s="77"/>
      <c r="G40" s="77"/>
      <c r="H40" s="78"/>
      <c r="I40" s="30"/>
      <c r="J40" s="2"/>
      <c r="K40" s="1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31"/>
      <c r="C41" s="31"/>
      <c r="D41" s="31"/>
      <c r="E41" s="31"/>
      <c r="F41" s="31"/>
      <c r="G41" s="31"/>
      <c r="H41" s="3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7">
    <mergeCell ref="B40:H40"/>
    <mergeCell ref="B7:H7"/>
    <mergeCell ref="B9:G9"/>
    <mergeCell ref="B35:H35"/>
    <mergeCell ref="B36:H36"/>
    <mergeCell ref="B37:H37"/>
    <mergeCell ref="B38:H39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FD1006"/>
  <sheetViews>
    <sheetView topLeftCell="A13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140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137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138</v>
      </c>
      <c r="C9" s="63"/>
      <c r="D9" s="63"/>
      <c r="E9" s="63"/>
      <c r="F9" s="63"/>
      <c r="G9" s="63"/>
      <c r="H9" s="12">
        <v>3263.7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45931</v>
      </c>
      <c r="C10" s="13" t="s">
        <v>8</v>
      </c>
      <c r="D10" s="23">
        <f>16516.34+163</f>
        <v>16679.34</v>
      </c>
      <c r="E10" s="23">
        <f>D10-F10</f>
        <v>12509.505000000001</v>
      </c>
      <c r="F10" s="23">
        <f>+D10*0.25</f>
        <v>4169.835</v>
      </c>
      <c r="G10" s="23">
        <f>4128.86+40.75</f>
        <v>4169.6099999999997</v>
      </c>
      <c r="H10" s="12">
        <f>H9+F10-G10</f>
        <v>3263.9250000000002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3" si="0">B10+(MOD(B10,7)=6)*2+1</f>
        <v>45932</v>
      </c>
      <c r="C11" s="13" t="s">
        <v>8</v>
      </c>
      <c r="D11" s="23">
        <f>2694.53+1473</f>
        <v>4167.5300000000007</v>
      </c>
      <c r="E11" s="23">
        <f t="shared" ref="E11:E34" si="1">D11-F11</f>
        <v>3125.6475000000005</v>
      </c>
      <c r="F11" s="23">
        <f>+D11*0.25</f>
        <v>1041.8825000000002</v>
      </c>
      <c r="G11" s="23">
        <f>673.6+368.25</f>
        <v>1041.8499999999999</v>
      </c>
      <c r="H11" s="12">
        <f t="shared" ref="H11:H32" si="2">H10+F11-G11</f>
        <v>3263.9575000000009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45933</v>
      </c>
      <c r="C12" s="13" t="s">
        <v>8</v>
      </c>
      <c r="D12" s="23">
        <f>2698.47+123</f>
        <v>2821.47</v>
      </c>
      <c r="E12" s="23">
        <f t="shared" si="1"/>
        <v>2116.1025</v>
      </c>
      <c r="F12" s="23">
        <f t="shared" ref="F12:F34" si="3">+D12*0.25</f>
        <v>705.36749999999995</v>
      </c>
      <c r="G12" s="23">
        <f>674.61+30.75</f>
        <v>705.36</v>
      </c>
      <c r="H12" s="12">
        <f t="shared" si="2"/>
        <v>3263.9650000000006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45936</v>
      </c>
      <c r="C13" s="13" t="s">
        <v>8</v>
      </c>
      <c r="D13" s="23">
        <f>3361.74+251</f>
        <v>3612.74</v>
      </c>
      <c r="E13" s="23">
        <f>D13-F13</f>
        <v>2709.5549999999998</v>
      </c>
      <c r="F13" s="23">
        <f>+D13*0.25</f>
        <v>903.18499999999995</v>
      </c>
      <c r="G13" s="23">
        <f>840.43+62.75</f>
        <v>903.18</v>
      </c>
      <c r="H13" s="12">
        <f t="shared" si="2"/>
        <v>3263.9700000000007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45937</v>
      </c>
      <c r="C14" s="13" t="s">
        <v>8</v>
      </c>
      <c r="D14" s="23">
        <f>4835.43+123</f>
        <v>4958.43</v>
      </c>
      <c r="E14" s="23">
        <f t="shared" si="1"/>
        <v>3718.8225000000002</v>
      </c>
      <c r="F14" s="23">
        <f t="shared" si="3"/>
        <v>1239.6075000000001</v>
      </c>
      <c r="G14" s="23">
        <f>1208.81+30.75</f>
        <v>1239.56</v>
      </c>
      <c r="H14" s="12">
        <f t="shared" si="2"/>
        <v>3264.0175000000013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45938</v>
      </c>
      <c r="C15" s="13" t="s">
        <v>8</v>
      </c>
      <c r="D15" s="23">
        <f>4668.93+4662.76</f>
        <v>9331.69</v>
      </c>
      <c r="E15" s="23">
        <f t="shared" si="1"/>
        <v>6998.7674999999999</v>
      </c>
      <c r="F15" s="23">
        <f t="shared" si="3"/>
        <v>2332.9225000000001</v>
      </c>
      <c r="G15" s="23">
        <f>1167.2+1165.68</f>
        <v>2332.88</v>
      </c>
      <c r="H15" s="12">
        <f t="shared" si="2"/>
        <v>3264.0600000000013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45939</v>
      </c>
      <c r="C16" s="13" t="s">
        <v>8</v>
      </c>
      <c r="D16" s="23">
        <f>6704.11+1801</f>
        <v>8505.11</v>
      </c>
      <c r="E16" s="23">
        <f t="shared" si="1"/>
        <v>6378.8325000000004</v>
      </c>
      <c r="F16" s="23">
        <f t="shared" si="3"/>
        <v>2126.2775000000001</v>
      </c>
      <c r="G16" s="23">
        <f>1675.97+450.25</f>
        <v>2126.2200000000003</v>
      </c>
      <c r="H16" s="12">
        <f t="shared" si="2"/>
        <v>3264.1175000000012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 16384:16384" x14ac:dyDescent="0.25">
      <c r="A17" s="2"/>
      <c r="B17" s="22">
        <f t="shared" si="0"/>
        <v>45940</v>
      </c>
      <c r="C17" s="13" t="s">
        <v>8</v>
      </c>
      <c r="D17" s="23">
        <f>6198.25+326</f>
        <v>6524.25</v>
      </c>
      <c r="E17" s="23">
        <f t="shared" si="1"/>
        <v>4893.1875</v>
      </c>
      <c r="F17" s="23">
        <f t="shared" si="3"/>
        <v>1631.0625</v>
      </c>
      <c r="G17" s="23">
        <f>1549.51+81.5</f>
        <v>1631.01</v>
      </c>
      <c r="H17" s="12">
        <f t="shared" si="2"/>
        <v>3264.170000000001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 16384:16384" x14ac:dyDescent="0.25">
      <c r="A18" s="2"/>
      <c r="B18" s="22">
        <f t="shared" si="0"/>
        <v>45943</v>
      </c>
      <c r="C18" s="13" t="s">
        <v>8</v>
      </c>
      <c r="D18" s="23">
        <f>10844.52+5083</f>
        <v>15927.52</v>
      </c>
      <c r="E18" s="23">
        <f t="shared" si="1"/>
        <v>11945.64</v>
      </c>
      <c r="F18" s="23">
        <f t="shared" si="3"/>
        <v>3981.88</v>
      </c>
      <c r="G18" s="23">
        <f>2711.06+1270.75</f>
        <v>3981.81</v>
      </c>
      <c r="H18" s="12">
        <f t="shared" si="2"/>
        <v>3264.2400000000011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 t="shared" si="0"/>
        <v>45944</v>
      </c>
      <c r="C19" s="13" t="s">
        <v>8</v>
      </c>
      <c r="D19" s="23">
        <f>5950.56+326</f>
        <v>6276.56</v>
      </c>
      <c r="E19" s="23">
        <f t="shared" si="1"/>
        <v>4707.42</v>
      </c>
      <c r="F19" s="23">
        <f t="shared" si="3"/>
        <v>1569.14</v>
      </c>
      <c r="G19" s="23">
        <f>1487.59+81.5</f>
        <v>1569.09</v>
      </c>
      <c r="H19" s="12">
        <f t="shared" si="2"/>
        <v>3264.2900000000009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0"/>
        <v>45945</v>
      </c>
      <c r="C20" s="13" t="s">
        <v>8</v>
      </c>
      <c r="D20" s="23">
        <f>1044.15+489</f>
        <v>1533.15</v>
      </c>
      <c r="E20" s="23">
        <f t="shared" si="1"/>
        <v>1149.8625000000002</v>
      </c>
      <c r="F20" s="23">
        <f t="shared" si="3"/>
        <v>383.28750000000002</v>
      </c>
      <c r="G20" s="23">
        <f>261.02+122.25</f>
        <v>383.27</v>
      </c>
      <c r="H20" s="12">
        <f t="shared" si="2"/>
        <v>3264.3075000000008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ht="15.75" customHeight="1" x14ac:dyDescent="0.25">
      <c r="A21" s="2"/>
      <c r="B21" s="22">
        <f>B20+(MOD(B20,7)=6)*2+1</f>
        <v>45946</v>
      </c>
      <c r="C21" s="13" t="s">
        <v>8</v>
      </c>
      <c r="D21" s="23">
        <f>3512.29+1473</f>
        <v>4985.29</v>
      </c>
      <c r="E21" s="23">
        <f t="shared" si="1"/>
        <v>3738.9674999999997</v>
      </c>
      <c r="F21" s="23">
        <f t="shared" si="3"/>
        <v>1246.3225</v>
      </c>
      <c r="G21" s="23">
        <f>878.03+368.25</f>
        <v>1246.28</v>
      </c>
      <c r="H21" s="12">
        <f>H20+F21-G21</f>
        <v>3264.3500000000013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x14ac:dyDescent="0.25">
      <c r="A22" s="2"/>
      <c r="B22" s="22">
        <f t="shared" si="0"/>
        <v>45947</v>
      </c>
      <c r="C22" s="13" t="s">
        <v>8</v>
      </c>
      <c r="D22" s="23">
        <f>4342.38+778</f>
        <v>5120.38</v>
      </c>
      <c r="E22" s="23">
        <f t="shared" si="1"/>
        <v>3840.2849999999999</v>
      </c>
      <c r="F22" s="23">
        <f t="shared" si="3"/>
        <v>1280.095</v>
      </c>
      <c r="G22" s="23">
        <f>1085.57+194.5</f>
        <v>1280.07</v>
      </c>
      <c r="H22" s="12">
        <f t="shared" si="2"/>
        <v>3264.3750000000018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x14ac:dyDescent="0.25">
      <c r="A23" s="2"/>
      <c r="B23" s="22">
        <f>B22+(MOD(B22,7)=6)*2+1</f>
        <v>45950</v>
      </c>
      <c r="C23" s="13" t="s">
        <v>8</v>
      </c>
      <c r="D23" s="23">
        <f>1300.89+981</f>
        <v>2281.8900000000003</v>
      </c>
      <c r="E23" s="23">
        <f t="shared" si="1"/>
        <v>1711.4175000000002</v>
      </c>
      <c r="F23" s="23">
        <f t="shared" si="3"/>
        <v>570.47250000000008</v>
      </c>
      <c r="G23" s="23">
        <f>325.22+245.25</f>
        <v>570.47</v>
      </c>
      <c r="H23" s="12">
        <f t="shared" si="2"/>
        <v>3264.3775000000014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ht="15.75" customHeight="1" x14ac:dyDescent="0.25">
      <c r="A24" s="2"/>
      <c r="B24" s="22">
        <f>B23+(MOD(B23,7)=6)*2+1</f>
        <v>45951</v>
      </c>
      <c r="C24" s="13" t="s">
        <v>8</v>
      </c>
      <c r="D24" s="23">
        <f>6707.56+1989.4</f>
        <v>8696.9600000000009</v>
      </c>
      <c r="E24" s="23">
        <f t="shared" si="1"/>
        <v>6522.7200000000012</v>
      </c>
      <c r="F24" s="23">
        <f t="shared" si="3"/>
        <v>2174.2400000000002</v>
      </c>
      <c r="G24" s="23">
        <f>1676.87+497.35</f>
        <v>2174.2199999999998</v>
      </c>
      <c r="H24" s="12">
        <f>H23+F24-G24</f>
        <v>3264.3975000000023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ht="15.75" customHeight="1" x14ac:dyDescent="0.25">
      <c r="A25" s="2"/>
      <c r="B25" s="22">
        <f t="shared" si="0"/>
        <v>45952</v>
      </c>
      <c r="C25" s="13" t="s">
        <v>8</v>
      </c>
      <c r="D25" s="23">
        <f>4956.82</f>
        <v>4956.82</v>
      </c>
      <c r="E25" s="23">
        <f t="shared" si="1"/>
        <v>3717.6149999999998</v>
      </c>
      <c r="F25" s="23">
        <f t="shared" si="3"/>
        <v>1239.2049999999999</v>
      </c>
      <c r="G25" s="23">
        <v>1239.19</v>
      </c>
      <c r="H25" s="12">
        <f>H24+F25-G25</f>
        <v>3264.4125000000026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x14ac:dyDescent="0.25">
      <c r="A26" s="2"/>
      <c r="B26" s="22">
        <f t="shared" si="0"/>
        <v>45953</v>
      </c>
      <c r="C26" s="13" t="s">
        <v>8</v>
      </c>
      <c r="D26" s="23">
        <f>8880.73+326</f>
        <v>9206.73</v>
      </c>
      <c r="E26" s="23">
        <f t="shared" si="1"/>
        <v>6905.0474999999997</v>
      </c>
      <c r="F26" s="23">
        <f t="shared" si="3"/>
        <v>2301.6824999999999</v>
      </c>
      <c r="G26" s="23">
        <f>2220.18+81.5</f>
        <v>2301.6799999999998</v>
      </c>
      <c r="H26" s="12">
        <f t="shared" si="2"/>
        <v>3264.4150000000031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x14ac:dyDescent="0.25">
      <c r="A27" s="2"/>
      <c r="B27" s="22">
        <f t="shared" si="0"/>
        <v>45954</v>
      </c>
      <c r="C27" s="13" t="s">
        <v>8</v>
      </c>
      <c r="D27" s="23">
        <f>1747.95+941</f>
        <v>2688.95</v>
      </c>
      <c r="E27" s="23">
        <f>D27-F27</f>
        <v>2016.7124999999999</v>
      </c>
      <c r="F27" s="23">
        <f t="shared" si="3"/>
        <v>672.23749999999995</v>
      </c>
      <c r="G27" s="23">
        <f>436.97+235.25</f>
        <v>672.22</v>
      </c>
      <c r="H27" s="12">
        <f t="shared" si="2"/>
        <v>3264.4325000000026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ht="15.75" customHeight="1" x14ac:dyDescent="0.25">
      <c r="A28" s="2"/>
      <c r="B28" s="22">
        <f>B27+(MOD(B27,7)=6)*2+1</f>
        <v>45957</v>
      </c>
      <c r="C28" s="13" t="s">
        <v>8</v>
      </c>
      <c r="D28" s="23">
        <f>5733.81+815</f>
        <v>6548.81</v>
      </c>
      <c r="E28" s="23">
        <f t="shared" si="1"/>
        <v>4911.6075000000001</v>
      </c>
      <c r="F28" s="23">
        <f t="shared" si="3"/>
        <v>1637.2025000000001</v>
      </c>
      <c r="G28" s="23">
        <f>1433.42+203.75</f>
        <v>1637.17</v>
      </c>
      <c r="H28" s="12">
        <f t="shared" si="2"/>
        <v>3264.4650000000029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XFD28">
        <f>SUM(A28:XFC28)</f>
        <v>63956.254999999997</v>
      </c>
    </row>
    <row r="29" spans="1:26 16384:16384" ht="15.75" customHeight="1" x14ac:dyDescent="0.25">
      <c r="A29" s="31"/>
      <c r="B29" s="22">
        <f t="shared" si="0"/>
        <v>45958</v>
      </c>
      <c r="C29" s="13" t="s">
        <v>8</v>
      </c>
      <c r="D29" s="38">
        <f>3478.98+259.2</f>
        <v>3738.18</v>
      </c>
      <c r="E29" s="23">
        <f t="shared" si="1"/>
        <v>2803.6349999999998</v>
      </c>
      <c r="F29" s="23">
        <f t="shared" si="3"/>
        <v>934.54499999999996</v>
      </c>
      <c r="G29" s="23">
        <f>869.73+64.8</f>
        <v>934.53</v>
      </c>
      <c r="H29" s="12">
        <f>H28+F29-G29</f>
        <v>3264.4800000000032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 16384:16384" ht="15.75" customHeight="1" x14ac:dyDescent="0.25">
      <c r="A30" s="32" t="s">
        <v>12</v>
      </c>
      <c r="B30" s="41">
        <v>45958</v>
      </c>
      <c r="C30" s="42" t="s">
        <v>11</v>
      </c>
      <c r="D30" s="43"/>
      <c r="E30" s="44">
        <f>D30-F30</f>
        <v>0</v>
      </c>
      <c r="F30" s="44">
        <f>+D30*0.25</f>
        <v>0</v>
      </c>
      <c r="G30" s="44">
        <v>3263.7</v>
      </c>
      <c r="H30" s="12">
        <f>H29+F30-G30</f>
        <v>0.78000000000338332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 16384:16384" ht="15.75" customHeight="1" x14ac:dyDescent="0.25">
      <c r="A31" s="31"/>
      <c r="B31" s="22">
        <f>B29+(MOD(B29,7)=6)*2+1</f>
        <v>45959</v>
      </c>
      <c r="C31" s="13" t="s">
        <v>8</v>
      </c>
      <c r="D31" s="38">
        <f>1743.81+330.57</f>
        <v>2074.38</v>
      </c>
      <c r="E31" s="23">
        <f t="shared" si="1"/>
        <v>1555.7850000000001</v>
      </c>
      <c r="F31" s="23">
        <f t="shared" si="3"/>
        <v>518.59500000000003</v>
      </c>
      <c r="G31" s="23">
        <f>435.92+82.64</f>
        <v>518.56000000000006</v>
      </c>
      <c r="H31" s="12">
        <f t="shared" si="2"/>
        <v>0.81500000000335149</v>
      </c>
      <c r="I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 16384:16384" ht="15.75" customHeight="1" x14ac:dyDescent="0.25">
      <c r="B32" s="22">
        <f t="shared" si="0"/>
        <v>45960</v>
      </c>
      <c r="C32" s="13" t="s">
        <v>8</v>
      </c>
      <c r="D32" s="38">
        <f>4759.59+755.7</f>
        <v>5515.29</v>
      </c>
      <c r="E32" s="23">
        <f t="shared" si="1"/>
        <v>4136.4674999999997</v>
      </c>
      <c r="F32" s="23">
        <f t="shared" si="3"/>
        <v>1378.8225</v>
      </c>
      <c r="G32" s="23">
        <f>1189.86+188.92</f>
        <v>1378.78</v>
      </c>
      <c r="H32" s="12">
        <f t="shared" si="2"/>
        <v>0.85750000000348336</v>
      </c>
      <c r="I32" s="39"/>
      <c r="J32" s="39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5.75" customHeight="1" x14ac:dyDescent="0.25">
      <c r="B33" s="22">
        <f t="shared" si="0"/>
        <v>45961</v>
      </c>
      <c r="C33" s="13" t="s">
        <v>8</v>
      </c>
      <c r="D33" s="38">
        <f>18058.09+163</f>
        <v>18221.09</v>
      </c>
      <c r="E33" s="23">
        <f t="shared" si="1"/>
        <v>13665.817500000001</v>
      </c>
      <c r="F33" s="23">
        <f t="shared" si="3"/>
        <v>4555.2725</v>
      </c>
      <c r="G33" s="23">
        <f>4514.3+40.75</f>
        <v>4555.05</v>
      </c>
      <c r="H33" s="12">
        <f>H32+F33-G33</f>
        <v>1.0800000000035652</v>
      </c>
      <c r="I33" s="39"/>
      <c r="J33" s="39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x14ac:dyDescent="0.25">
      <c r="A34" s="32" t="s">
        <v>13</v>
      </c>
      <c r="B34" s="22">
        <v>45961</v>
      </c>
      <c r="C34" s="13" t="s">
        <v>8</v>
      </c>
      <c r="D34" s="38">
        <v>7058.56</v>
      </c>
      <c r="E34" s="23">
        <f t="shared" si="1"/>
        <v>5293.92</v>
      </c>
      <c r="F34" s="23">
        <f t="shared" si="3"/>
        <v>1764.64</v>
      </c>
      <c r="G34" s="23">
        <v>0</v>
      </c>
      <c r="H34" s="12">
        <f>F34+H33</f>
        <v>1765.7200000000037</v>
      </c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5.75" customHeight="1" thickBot="1" x14ac:dyDescent="0.3">
      <c r="A35" s="2"/>
      <c r="B35" s="18" t="s">
        <v>9</v>
      </c>
      <c r="C35" s="19"/>
      <c r="D35" s="20">
        <f>SUM(D10:D34)</f>
        <v>161431.12</v>
      </c>
      <c r="E35" s="20">
        <f>SUM(E10:E34)</f>
        <v>121073.34</v>
      </c>
      <c r="F35" s="20">
        <f>SUM(F10:F34)</f>
        <v>40357.78</v>
      </c>
      <c r="G35" s="20">
        <f>SUM(G10:G34)</f>
        <v>41855.759999999995</v>
      </c>
      <c r="H35" s="12">
        <f>H34</f>
        <v>1765.7200000000037</v>
      </c>
      <c r="I35" s="1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9"/>
      <c r="B36" s="64" t="s">
        <v>10</v>
      </c>
      <c r="C36" s="65"/>
      <c r="D36" s="65"/>
      <c r="E36" s="65"/>
      <c r="F36" s="65"/>
      <c r="G36" s="65"/>
      <c r="H36" s="66"/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9"/>
      <c r="B37" s="67" t="s">
        <v>143</v>
      </c>
      <c r="C37" s="68"/>
      <c r="D37" s="68"/>
      <c r="E37" s="68"/>
      <c r="F37" s="68"/>
      <c r="G37" s="68"/>
      <c r="H37" s="69"/>
      <c r="I37" s="3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31"/>
      <c r="B38" s="67" t="s">
        <v>134</v>
      </c>
      <c r="C38" s="90"/>
      <c r="D38" s="90"/>
      <c r="E38" s="90"/>
      <c r="F38" s="90"/>
      <c r="G38" s="90"/>
      <c r="H38" s="95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 x14ac:dyDescent="0.25">
      <c r="A39" s="31"/>
      <c r="B39" s="70" t="s">
        <v>139</v>
      </c>
      <c r="C39" s="71"/>
      <c r="D39" s="71"/>
      <c r="E39" s="71"/>
      <c r="F39" s="71"/>
      <c r="G39" s="71"/>
      <c r="H39" s="72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customHeight="1" x14ac:dyDescent="0.25">
      <c r="A40" s="31"/>
      <c r="B40" s="70"/>
      <c r="C40" s="71"/>
      <c r="D40" s="71"/>
      <c r="E40" s="71"/>
      <c r="F40" s="71"/>
      <c r="G40" s="71"/>
      <c r="H40" s="72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5.75" customHeight="1" x14ac:dyDescent="0.25">
      <c r="A41" s="31"/>
      <c r="B41" s="92" t="s">
        <v>142</v>
      </c>
      <c r="C41" s="93"/>
      <c r="D41" s="93"/>
      <c r="E41" s="93"/>
      <c r="F41" s="93"/>
      <c r="G41" s="93"/>
      <c r="H41" s="94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x14ac:dyDescent="0.25">
      <c r="A42" s="29"/>
      <c r="B42" s="92"/>
      <c r="C42" s="93"/>
      <c r="D42" s="93"/>
      <c r="E42" s="93"/>
      <c r="F42" s="93"/>
      <c r="G42" s="93"/>
      <c r="H42" s="94"/>
      <c r="I42" s="30"/>
      <c r="J42" s="2"/>
      <c r="K42" s="1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thickBot="1" x14ac:dyDescent="0.3">
      <c r="A43" s="2"/>
      <c r="B43" s="45"/>
      <c r="C43" s="46"/>
      <c r="D43" s="46"/>
      <c r="E43" s="46"/>
      <c r="F43" s="46"/>
      <c r="G43" s="46"/>
      <c r="H43" s="47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7">
    <mergeCell ref="B39:H40"/>
    <mergeCell ref="B41:H42"/>
    <mergeCell ref="B7:H7"/>
    <mergeCell ref="B9:G9"/>
    <mergeCell ref="B36:H36"/>
    <mergeCell ref="B37:H37"/>
    <mergeCell ref="B38:H38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XFD999"/>
  <sheetViews>
    <sheetView topLeftCell="A7" zoomScale="110" zoomScaleNormal="110" workbookViewId="0">
      <selection activeCell="B34" sqref="B34:H35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144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145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146</v>
      </c>
      <c r="C9" s="63"/>
      <c r="D9" s="63"/>
      <c r="E9" s="63"/>
      <c r="F9" s="63"/>
      <c r="G9" s="63"/>
      <c r="H9" s="12">
        <v>1765.72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45964</v>
      </c>
      <c r="C10" s="13" t="s">
        <v>8</v>
      </c>
      <c r="D10" s="23">
        <f>3187.27+449</f>
        <v>3636.27</v>
      </c>
      <c r="E10" s="23">
        <f>D10-F10</f>
        <v>2727.2024999999999</v>
      </c>
      <c r="F10" s="23">
        <f>+D10*0.25</f>
        <v>909.0675</v>
      </c>
      <c r="G10" s="23">
        <f>796.8+112.25</f>
        <v>909.05</v>
      </c>
      <c r="H10" s="12">
        <f>H9+F10-G10</f>
        <v>1765.7375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27" si="0">B10+(MOD(B10,7)=6)*2+1</f>
        <v>45965</v>
      </c>
      <c r="C11" s="13" t="s">
        <v>8</v>
      </c>
      <c r="D11" s="23">
        <f>3446.76+246</f>
        <v>3692.76</v>
      </c>
      <c r="E11" s="23">
        <f t="shared" ref="E11:E29" si="1">D11-F11</f>
        <v>2769.57</v>
      </c>
      <c r="F11" s="23">
        <f>+D11*0.25</f>
        <v>923.19</v>
      </c>
      <c r="G11" s="23">
        <f>861.67+61.5</f>
        <v>923.17</v>
      </c>
      <c r="H11" s="12">
        <f t="shared" ref="H11:H29" si="2">H10+F11-G11</f>
        <v>1765.7574999999997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45966</v>
      </c>
      <c r="C12" s="13" t="s">
        <v>8</v>
      </c>
      <c r="D12" s="23">
        <f>3288.66+577</f>
        <v>3865.66</v>
      </c>
      <c r="E12" s="23">
        <f t="shared" si="1"/>
        <v>2899.2449999999999</v>
      </c>
      <c r="F12" s="23">
        <f t="shared" ref="F12:F29" si="3">+D12*0.25</f>
        <v>966.41499999999996</v>
      </c>
      <c r="G12" s="23">
        <f>822.14+144.25</f>
        <v>966.39</v>
      </c>
      <c r="H12" s="12">
        <f t="shared" si="2"/>
        <v>1765.7824999999998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45967</v>
      </c>
      <c r="C13" s="13" t="s">
        <v>8</v>
      </c>
      <c r="D13" s="23">
        <f>6636.9+489</f>
        <v>7125.9</v>
      </c>
      <c r="E13" s="23">
        <f>D13-F13</f>
        <v>5344.4249999999993</v>
      </c>
      <c r="F13" s="23">
        <f>+D13*0.25</f>
        <v>1781.4749999999999</v>
      </c>
      <c r="G13" s="23">
        <f>1659.19+122.25</f>
        <v>1781.44</v>
      </c>
      <c r="H13" s="12">
        <f t="shared" si="2"/>
        <v>1765.8174999999997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45968</v>
      </c>
      <c r="C14" s="13" t="s">
        <v>8</v>
      </c>
      <c r="D14" s="23">
        <f>2045.03+286</f>
        <v>2331.0299999999997</v>
      </c>
      <c r="E14" s="23">
        <f t="shared" si="1"/>
        <v>1748.2724999999998</v>
      </c>
      <c r="F14" s="23">
        <f t="shared" si="3"/>
        <v>582.75749999999994</v>
      </c>
      <c r="G14" s="23">
        <f>511.23+71.5</f>
        <v>582.73</v>
      </c>
      <c r="H14" s="12">
        <f t="shared" si="2"/>
        <v>1765.8449999999998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45971</v>
      </c>
      <c r="C15" s="13" t="s">
        <v>8</v>
      </c>
      <c r="D15" s="23">
        <f>2212.44+668.11</f>
        <v>2880.55</v>
      </c>
      <c r="E15" s="23">
        <f t="shared" si="1"/>
        <v>2160.4125000000004</v>
      </c>
      <c r="F15" s="23">
        <f t="shared" si="3"/>
        <v>720.13750000000005</v>
      </c>
      <c r="G15" s="23">
        <f>553.1+167.02</f>
        <v>720.12</v>
      </c>
      <c r="H15" s="12">
        <f t="shared" si="2"/>
        <v>1765.8625000000002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45972</v>
      </c>
      <c r="C16" s="13" t="s">
        <v>8</v>
      </c>
      <c r="D16" s="23">
        <f>7939.99+163</f>
        <v>8102.99</v>
      </c>
      <c r="E16" s="23">
        <f t="shared" si="1"/>
        <v>6077.2425000000003</v>
      </c>
      <c r="F16" s="23">
        <f t="shared" si="3"/>
        <v>2025.7474999999999</v>
      </c>
      <c r="G16" s="23">
        <f>1984.94+40.75</f>
        <v>2025.69</v>
      </c>
      <c r="H16" s="12">
        <f t="shared" si="2"/>
        <v>1765.92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 16384:16384" x14ac:dyDescent="0.25">
      <c r="A17" s="2"/>
      <c r="B17" s="22">
        <f t="shared" si="0"/>
        <v>45973</v>
      </c>
      <c r="C17" s="13" t="s">
        <v>8</v>
      </c>
      <c r="D17" s="23">
        <f>3980.06+1296.39</f>
        <v>5276.45</v>
      </c>
      <c r="E17" s="23">
        <f t="shared" si="1"/>
        <v>3957.3374999999996</v>
      </c>
      <c r="F17" s="23">
        <f t="shared" si="3"/>
        <v>1319.1125</v>
      </c>
      <c r="G17" s="23">
        <f>994.97+324.09</f>
        <v>1319.06</v>
      </c>
      <c r="H17" s="12">
        <f t="shared" si="2"/>
        <v>1765.9725000000003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 16384:16384" x14ac:dyDescent="0.25">
      <c r="A18" s="2"/>
      <c r="B18" s="22">
        <f t="shared" si="0"/>
        <v>45974</v>
      </c>
      <c r="C18" s="13" t="s">
        <v>8</v>
      </c>
      <c r="D18" s="23">
        <f>3279.09+326</f>
        <v>3605.09</v>
      </c>
      <c r="E18" s="23">
        <f t="shared" si="1"/>
        <v>2703.8175000000001</v>
      </c>
      <c r="F18" s="23">
        <f t="shared" si="3"/>
        <v>901.27250000000004</v>
      </c>
      <c r="G18" s="23">
        <f>819.75+81.5</f>
        <v>901.25</v>
      </c>
      <c r="H18" s="12">
        <f t="shared" si="2"/>
        <v>1765.9950000000003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 t="shared" si="0"/>
        <v>45975</v>
      </c>
      <c r="C19" s="13" t="s">
        <v>8</v>
      </c>
      <c r="D19" s="23">
        <f>4810.23+492</f>
        <v>5302.23</v>
      </c>
      <c r="E19" s="23">
        <f t="shared" si="1"/>
        <v>3976.6724999999997</v>
      </c>
      <c r="F19" s="23">
        <f t="shared" si="3"/>
        <v>1325.5574999999999</v>
      </c>
      <c r="G19" s="23">
        <f>1202.54+123</f>
        <v>1325.54</v>
      </c>
      <c r="H19" s="12">
        <f t="shared" si="2"/>
        <v>1766.0125000000003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0"/>
        <v>45978</v>
      </c>
      <c r="C20" s="13" t="s">
        <v>8</v>
      </c>
      <c r="D20" s="23">
        <f>6983.75+163</f>
        <v>7146.75</v>
      </c>
      <c r="E20" s="23">
        <f t="shared" si="1"/>
        <v>5360.0625</v>
      </c>
      <c r="F20" s="23">
        <f t="shared" si="3"/>
        <v>1786.6875</v>
      </c>
      <c r="G20" s="23">
        <f>1745.9+40.75</f>
        <v>1786.65</v>
      </c>
      <c r="H20" s="12">
        <f t="shared" si="2"/>
        <v>1766.0500000000002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ht="15.75" customHeight="1" x14ac:dyDescent="0.25">
      <c r="A21" s="2"/>
      <c r="B21" s="22">
        <f>B20+(MOD(B20,7)=6)*2+1</f>
        <v>45979</v>
      </c>
      <c r="C21" s="13" t="s">
        <v>8</v>
      </c>
      <c r="D21" s="23">
        <f>3679.9+492</f>
        <v>4171.8999999999996</v>
      </c>
      <c r="E21" s="23">
        <f t="shared" si="1"/>
        <v>3128.9249999999997</v>
      </c>
      <c r="F21" s="23">
        <f t="shared" si="3"/>
        <v>1042.9749999999999</v>
      </c>
      <c r="G21" s="23">
        <f>919.96+123</f>
        <v>1042.96</v>
      </c>
      <c r="H21" s="12">
        <f>H20+F21-G21</f>
        <v>1766.0650000000001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x14ac:dyDescent="0.25">
      <c r="A22" s="2"/>
      <c r="B22" s="22">
        <f t="shared" si="0"/>
        <v>45980</v>
      </c>
      <c r="C22" s="13" t="s">
        <v>8</v>
      </c>
      <c r="D22" s="23">
        <f>1192.06+655</f>
        <v>1847.06</v>
      </c>
      <c r="E22" s="23">
        <f t="shared" si="1"/>
        <v>1385.2950000000001</v>
      </c>
      <c r="F22" s="23">
        <f t="shared" si="3"/>
        <v>461.76499999999999</v>
      </c>
      <c r="G22" s="23">
        <f>298.01+163.75</f>
        <v>461.76</v>
      </c>
      <c r="H22" s="12">
        <f t="shared" si="2"/>
        <v>1766.07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x14ac:dyDescent="0.25">
      <c r="A23" s="2"/>
      <c r="B23" s="22">
        <v>45982</v>
      </c>
      <c r="C23" s="13" t="s">
        <v>8</v>
      </c>
      <c r="D23" s="23">
        <f>1944.52</f>
        <v>1944.52</v>
      </c>
      <c r="E23" s="23">
        <f t="shared" si="1"/>
        <v>1458.3899999999999</v>
      </c>
      <c r="F23" s="23">
        <f t="shared" si="3"/>
        <v>486.13</v>
      </c>
      <c r="G23" s="23">
        <v>486.12</v>
      </c>
      <c r="H23" s="12">
        <f t="shared" si="2"/>
        <v>1766.08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ht="15.75" customHeight="1" x14ac:dyDescent="0.25">
      <c r="A24" s="2"/>
      <c r="B24" s="22">
        <f>B23+(MOD(B23,7)=6)*2+1</f>
        <v>45985</v>
      </c>
      <c r="C24" s="13" t="s">
        <v>8</v>
      </c>
      <c r="D24" s="23">
        <v>1441.6</v>
      </c>
      <c r="E24" s="23">
        <f t="shared" si="1"/>
        <v>1081.1999999999998</v>
      </c>
      <c r="F24" s="23">
        <f t="shared" si="3"/>
        <v>360.4</v>
      </c>
      <c r="G24" s="23">
        <v>360.39</v>
      </c>
      <c r="H24" s="12">
        <f>H23+F24-G24</f>
        <v>1766.0900000000001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ht="15.75" customHeight="1" x14ac:dyDescent="0.25">
      <c r="A25" s="2"/>
      <c r="B25" s="22">
        <f t="shared" si="0"/>
        <v>45986</v>
      </c>
      <c r="C25" s="13" t="s">
        <v>8</v>
      </c>
      <c r="D25" s="23">
        <f>771.98+652</f>
        <v>1423.98</v>
      </c>
      <c r="E25" s="23">
        <f t="shared" si="1"/>
        <v>1067.9850000000001</v>
      </c>
      <c r="F25" s="23">
        <f t="shared" si="3"/>
        <v>355.995</v>
      </c>
      <c r="G25" s="23">
        <f>192.99+163</f>
        <v>355.99</v>
      </c>
      <c r="H25" s="12">
        <f>H24+F25-G25</f>
        <v>1766.095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x14ac:dyDescent="0.25">
      <c r="A26" s="2"/>
      <c r="B26" s="22">
        <f t="shared" si="0"/>
        <v>45987</v>
      </c>
      <c r="C26" s="13" t="s">
        <v>8</v>
      </c>
      <c r="D26" s="23">
        <f>892.94+1267</f>
        <v>2159.94</v>
      </c>
      <c r="E26" s="23">
        <f t="shared" si="1"/>
        <v>1619.9549999999999</v>
      </c>
      <c r="F26" s="23">
        <f t="shared" si="3"/>
        <v>539.98500000000001</v>
      </c>
      <c r="G26" s="23">
        <f>223.23+316.75</f>
        <v>539.98</v>
      </c>
      <c r="H26" s="12">
        <f t="shared" si="2"/>
        <v>1766.1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x14ac:dyDescent="0.25">
      <c r="A27" s="2"/>
      <c r="B27" s="22">
        <f t="shared" si="0"/>
        <v>45988</v>
      </c>
      <c r="C27" s="13" t="s">
        <v>8</v>
      </c>
      <c r="D27" s="23">
        <f>1859.17+326</f>
        <v>2185.17</v>
      </c>
      <c r="E27" s="23">
        <f>D27-F27</f>
        <v>1638.8775000000001</v>
      </c>
      <c r="F27" s="23">
        <f t="shared" si="3"/>
        <v>546.29250000000002</v>
      </c>
      <c r="G27" s="23">
        <f>464.77+81.5</f>
        <v>546.27</v>
      </c>
      <c r="H27" s="12">
        <f t="shared" si="2"/>
        <v>1766.1224999999999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ht="15.75" customHeight="1" x14ac:dyDescent="0.25">
      <c r="A28" s="2"/>
      <c r="B28" s="22">
        <f>B27+(MOD(B27,7)=6)*2+1</f>
        <v>45989</v>
      </c>
      <c r="C28" s="13" t="s">
        <v>8</v>
      </c>
      <c r="D28" s="23">
        <f>2169.26+163</f>
        <v>2332.2600000000002</v>
      </c>
      <c r="E28" s="23">
        <f t="shared" si="1"/>
        <v>1749.1950000000002</v>
      </c>
      <c r="F28" s="23">
        <f t="shared" si="3"/>
        <v>583.06500000000005</v>
      </c>
      <c r="G28" s="23">
        <f>542.29+40.75</f>
        <v>583.04</v>
      </c>
      <c r="H28" s="12">
        <f t="shared" si="2"/>
        <v>1766.1475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XFD28">
        <f>SUM(A28:XFC28)</f>
        <v>53002.707500000004</v>
      </c>
    </row>
    <row r="29" spans="1:26 16384:16384" x14ac:dyDescent="0.25">
      <c r="A29" s="32" t="s">
        <v>12</v>
      </c>
      <c r="B29" s="22">
        <v>45989</v>
      </c>
      <c r="C29" s="13" t="s">
        <v>8</v>
      </c>
      <c r="D29" s="38">
        <v>13599.15</v>
      </c>
      <c r="E29" s="23">
        <f t="shared" si="1"/>
        <v>10199.362499999999</v>
      </c>
      <c r="F29" s="23">
        <f t="shared" si="3"/>
        <v>3399.7874999999999</v>
      </c>
      <c r="G29" s="23">
        <v>0</v>
      </c>
      <c r="H29" s="12">
        <f t="shared" si="2"/>
        <v>5165.9349999999995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 16384:16384" ht="15.75" customHeight="1" thickBot="1" x14ac:dyDescent="0.3">
      <c r="A30" s="2"/>
      <c r="B30" s="18" t="s">
        <v>9</v>
      </c>
      <c r="C30" s="19"/>
      <c r="D30" s="20">
        <f>SUM(D10:D29)</f>
        <v>84071.25999999998</v>
      </c>
      <c r="E30" s="20">
        <f>SUM(E10:E29)</f>
        <v>63053.444999999992</v>
      </c>
      <c r="F30" s="20">
        <f>SUM(F10:F29)</f>
        <v>21017.814999999995</v>
      </c>
      <c r="G30" s="20">
        <f>SUM(G10:G29)</f>
        <v>17617.600000000002</v>
      </c>
      <c r="H30" s="12">
        <f>H29</f>
        <v>5165.9349999999995</v>
      </c>
      <c r="I30" s="1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 16384:16384" ht="15.75" customHeight="1" x14ac:dyDescent="0.25">
      <c r="A31" s="29"/>
      <c r="B31" s="64" t="s">
        <v>10</v>
      </c>
      <c r="C31" s="65"/>
      <c r="D31" s="65"/>
      <c r="E31" s="65"/>
      <c r="F31" s="65"/>
      <c r="G31" s="65"/>
      <c r="H31" s="66"/>
      <c r="I31" s="30"/>
      <c r="J31" s="2"/>
      <c r="K31" s="16">
        <f>H30-H9</f>
        <v>3400.2149999999992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 16384:16384" ht="15.75" customHeight="1" x14ac:dyDescent="0.25">
      <c r="A32" s="29"/>
      <c r="B32" s="67" t="s">
        <v>148</v>
      </c>
      <c r="C32" s="68"/>
      <c r="D32" s="68"/>
      <c r="E32" s="68"/>
      <c r="F32" s="68"/>
      <c r="G32" s="68"/>
      <c r="H32" s="69"/>
      <c r="I32" s="3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31"/>
      <c r="B33" s="67"/>
      <c r="C33" s="90"/>
      <c r="D33" s="90"/>
      <c r="E33" s="90"/>
      <c r="F33" s="90"/>
      <c r="G33" s="90"/>
      <c r="H33" s="95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 x14ac:dyDescent="0.25">
      <c r="A34" s="31"/>
      <c r="B34" s="70" t="s">
        <v>147</v>
      </c>
      <c r="C34" s="71"/>
      <c r="D34" s="71"/>
      <c r="E34" s="71"/>
      <c r="F34" s="71"/>
      <c r="G34" s="71"/>
      <c r="H34" s="72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5.75" customHeight="1" x14ac:dyDescent="0.25">
      <c r="A35" s="31"/>
      <c r="B35" s="70"/>
      <c r="C35" s="71"/>
      <c r="D35" s="71"/>
      <c r="E35" s="71"/>
      <c r="F35" s="71"/>
      <c r="G35" s="71"/>
      <c r="H35" s="72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 thickBot="1" x14ac:dyDescent="0.3">
      <c r="A36" s="2"/>
      <c r="B36" s="45"/>
      <c r="C36" s="46"/>
      <c r="D36" s="46"/>
      <c r="E36" s="46"/>
      <c r="F36" s="46"/>
      <c r="G36" s="46"/>
      <c r="H36" s="4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6">
    <mergeCell ref="B34:H35"/>
    <mergeCell ref="B7:H7"/>
    <mergeCell ref="B9:G9"/>
    <mergeCell ref="B31:H31"/>
    <mergeCell ref="B32:H32"/>
    <mergeCell ref="B33:H33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FD1003"/>
  <sheetViews>
    <sheetView topLeftCell="A7" zoomScale="110" zoomScaleNormal="110" workbookViewId="0">
      <selection activeCell="B38" sqref="B38:H39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149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145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150</v>
      </c>
      <c r="C9" s="63"/>
      <c r="D9" s="63"/>
      <c r="E9" s="63"/>
      <c r="F9" s="63"/>
      <c r="G9" s="63"/>
      <c r="H9" s="12">
        <v>5165.9399999999996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45992</v>
      </c>
      <c r="C10" s="13" t="s">
        <v>8</v>
      </c>
      <c r="D10" s="23">
        <f>5383.9+625.34</f>
        <v>6009.24</v>
      </c>
      <c r="E10" s="23">
        <f>D10-F10</f>
        <v>4506.93</v>
      </c>
      <c r="F10" s="23">
        <f>+D10*0.25</f>
        <v>1502.31</v>
      </c>
      <c r="G10" s="23">
        <f>1345.92+156.33</f>
        <v>1502.25</v>
      </c>
      <c r="H10" s="12">
        <f>H9+F10-G10</f>
        <v>5166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0">B10+(MOD(B10,7)=6)*2+1</f>
        <v>45993</v>
      </c>
      <c r="C11" s="13" t="s">
        <v>8</v>
      </c>
      <c r="D11" s="23">
        <f>19544.01+221.66</f>
        <v>19765.669999999998</v>
      </c>
      <c r="E11" s="23">
        <f t="shared" ref="E11:E30" si="1">D11-F11</f>
        <v>14824.252499999999</v>
      </c>
      <c r="F11" s="23">
        <f>+D11*0.25</f>
        <v>4941.4174999999996</v>
      </c>
      <c r="G11" s="23">
        <f>4885.85+55.41</f>
        <v>4941.26</v>
      </c>
      <c r="H11" s="12">
        <f t="shared" ref="H11:H33" si="2">H10+F11-G11</f>
        <v>5166.1574999999993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45994</v>
      </c>
      <c r="C12" s="13" t="s">
        <v>8</v>
      </c>
      <c r="D12" s="23">
        <f>2510.89+775</f>
        <v>3285.89</v>
      </c>
      <c r="E12" s="23">
        <f t="shared" si="1"/>
        <v>2464.4175</v>
      </c>
      <c r="F12" s="23">
        <f t="shared" ref="F12:F30" si="3">+D12*0.25</f>
        <v>821.47249999999997</v>
      </c>
      <c r="G12" s="23">
        <f>627.69+193.75</f>
        <v>821.44</v>
      </c>
      <c r="H12" s="12">
        <f t="shared" si="2"/>
        <v>5166.1899999999987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1" t="s">
        <v>12</v>
      </c>
      <c r="B13" s="48">
        <v>45994</v>
      </c>
      <c r="C13" s="49" t="s">
        <v>11</v>
      </c>
      <c r="D13" s="50">
        <v>0</v>
      </c>
      <c r="E13" s="50">
        <v>0</v>
      </c>
      <c r="F13" s="50">
        <v>0</v>
      </c>
      <c r="G13" s="50">
        <v>1765.72</v>
      </c>
      <c r="H13" s="51">
        <f>H12+F13-G13</f>
        <v>3400.4699999999984</v>
      </c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x14ac:dyDescent="0.25">
      <c r="A14" s="2"/>
      <c r="B14" s="22">
        <f>B12+(MOD(B12,7)=6)*2+1</f>
        <v>45995</v>
      </c>
      <c r="C14" s="13" t="s">
        <v>8</v>
      </c>
      <c r="D14" s="23">
        <f>2009.77+873.47</f>
        <v>2883.24</v>
      </c>
      <c r="E14" s="23">
        <f>D14-F14</f>
        <v>2162.4299999999998</v>
      </c>
      <c r="F14" s="23">
        <f>+D14*0.25</f>
        <v>720.81</v>
      </c>
      <c r="G14" s="23">
        <f>502.42+218.36</f>
        <v>720.78</v>
      </c>
      <c r="H14" s="12">
        <f t="shared" si="2"/>
        <v>3400.4999999999991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45996</v>
      </c>
      <c r="C15" s="13" t="s">
        <v>8</v>
      </c>
      <c r="D15" s="23">
        <f>1959.14+163</f>
        <v>2122.1400000000003</v>
      </c>
      <c r="E15" s="23">
        <f t="shared" si="1"/>
        <v>1591.6050000000002</v>
      </c>
      <c r="F15" s="23">
        <f t="shared" si="3"/>
        <v>530.53500000000008</v>
      </c>
      <c r="G15" s="23">
        <f>489.76+40.75</f>
        <v>530.51</v>
      </c>
      <c r="H15" s="12">
        <f t="shared" si="2"/>
        <v>3400.5249999999987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45999</v>
      </c>
      <c r="C16" s="13" t="s">
        <v>8</v>
      </c>
      <c r="D16" s="23">
        <f>2460.01+1147</f>
        <v>3607.01</v>
      </c>
      <c r="E16" s="23">
        <f t="shared" si="1"/>
        <v>2705.2575000000002</v>
      </c>
      <c r="F16" s="23">
        <f t="shared" si="3"/>
        <v>901.75250000000005</v>
      </c>
      <c r="G16" s="23">
        <f>614.97+286.75</f>
        <v>901.72</v>
      </c>
      <c r="H16" s="12">
        <f t="shared" si="2"/>
        <v>3400.5574999999981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 16384:16384" x14ac:dyDescent="0.25">
      <c r="A17" s="2"/>
      <c r="B17" s="22">
        <f t="shared" si="0"/>
        <v>46000</v>
      </c>
      <c r="C17" s="13" t="s">
        <v>8</v>
      </c>
      <c r="D17" s="23">
        <f>6690.16</f>
        <v>6690.16</v>
      </c>
      <c r="E17" s="23">
        <f t="shared" si="1"/>
        <v>5017.62</v>
      </c>
      <c r="F17" s="23">
        <f t="shared" si="3"/>
        <v>1672.54</v>
      </c>
      <c r="G17" s="23">
        <f>1672.48</f>
        <v>1672.48</v>
      </c>
      <c r="H17" s="12">
        <f t="shared" si="2"/>
        <v>3400.617499999998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 16384:16384" x14ac:dyDescent="0.25">
      <c r="A18" s="2"/>
      <c r="B18" s="22">
        <f t="shared" si="0"/>
        <v>46001</v>
      </c>
      <c r="C18" s="13" t="s">
        <v>8</v>
      </c>
      <c r="D18" s="23">
        <f>3586.16</f>
        <v>3586.16</v>
      </c>
      <c r="E18" s="23">
        <f t="shared" si="1"/>
        <v>2689.62</v>
      </c>
      <c r="F18" s="23">
        <f t="shared" si="3"/>
        <v>896.54</v>
      </c>
      <c r="G18" s="23">
        <f>896.49</f>
        <v>896.49</v>
      </c>
      <c r="H18" s="12">
        <f t="shared" si="2"/>
        <v>3400.6674999999977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 t="shared" si="0"/>
        <v>46002</v>
      </c>
      <c r="C19" s="13" t="s">
        <v>8</v>
      </c>
      <c r="D19" s="23">
        <f>8453.98+489</f>
        <v>8942.98</v>
      </c>
      <c r="E19" s="23">
        <f t="shared" si="1"/>
        <v>6707.2349999999997</v>
      </c>
      <c r="F19" s="23">
        <f t="shared" si="3"/>
        <v>2235.7449999999999</v>
      </c>
      <c r="G19" s="23">
        <f>2113.42+122.25</f>
        <v>2235.67</v>
      </c>
      <c r="H19" s="12">
        <f t="shared" si="2"/>
        <v>3400.7424999999976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0"/>
        <v>46003</v>
      </c>
      <c r="C20" s="13" t="s">
        <v>8</v>
      </c>
      <c r="D20" s="23">
        <f>1164.29+4964.2+163</f>
        <v>6291.49</v>
      </c>
      <c r="E20" s="23">
        <f t="shared" si="1"/>
        <v>4718.6175000000003</v>
      </c>
      <c r="F20" s="23">
        <f t="shared" si="3"/>
        <v>1572.8724999999999</v>
      </c>
      <c r="G20" s="23">
        <f>291.06+1281.8</f>
        <v>1572.86</v>
      </c>
      <c r="H20" s="12">
        <f t="shared" si="2"/>
        <v>3400.7549999999983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x14ac:dyDescent="0.25">
      <c r="A21" s="2"/>
      <c r="B21" s="22">
        <f t="shared" si="0"/>
        <v>46006</v>
      </c>
      <c r="C21" s="13" t="s">
        <v>8</v>
      </c>
      <c r="D21" s="23">
        <f>5972.67+6071.8</f>
        <v>12044.470000000001</v>
      </c>
      <c r="E21" s="23">
        <f t="shared" si="1"/>
        <v>9033.3525000000009</v>
      </c>
      <c r="F21" s="23">
        <f t="shared" si="3"/>
        <v>3011.1175000000003</v>
      </c>
      <c r="G21" s="23">
        <f>1493.13+1517.95</f>
        <v>3011.08</v>
      </c>
      <c r="H21" s="12">
        <f t="shared" si="2"/>
        <v>3400.7924999999987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ht="15.75" customHeight="1" x14ac:dyDescent="0.25">
      <c r="A22" s="2"/>
      <c r="B22" s="22">
        <f>B21+(MOD(B21,7)=6)*2+1</f>
        <v>46007</v>
      </c>
      <c r="C22" s="13" t="s">
        <v>8</v>
      </c>
      <c r="D22" s="23">
        <f>11715.73+1979.2</f>
        <v>13694.93</v>
      </c>
      <c r="E22" s="23">
        <f t="shared" si="1"/>
        <v>10271.1975</v>
      </c>
      <c r="F22" s="23">
        <f t="shared" si="3"/>
        <v>3423.7325000000001</v>
      </c>
      <c r="G22" s="23">
        <f>2928.9+494.8</f>
        <v>3423.7000000000003</v>
      </c>
      <c r="H22" s="12">
        <f t="shared" si="2"/>
        <v>3400.8249999999985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x14ac:dyDescent="0.25">
      <c r="A23" s="2"/>
      <c r="B23" s="22">
        <f t="shared" si="0"/>
        <v>46008</v>
      </c>
      <c r="C23" s="13" t="s">
        <v>8</v>
      </c>
      <c r="D23" s="23">
        <f>9497.82+3437.2</f>
        <v>12935.02</v>
      </c>
      <c r="E23" s="23">
        <f t="shared" si="1"/>
        <v>9701.2649999999994</v>
      </c>
      <c r="F23" s="23">
        <f t="shared" si="3"/>
        <v>3233.7550000000001</v>
      </c>
      <c r="G23" s="23">
        <f>2374.41+859.3</f>
        <v>3233.71</v>
      </c>
      <c r="H23" s="12">
        <f t="shared" si="2"/>
        <v>3400.8699999999981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x14ac:dyDescent="0.25">
      <c r="A24" s="2"/>
      <c r="B24" s="22">
        <f t="shared" si="0"/>
        <v>46009</v>
      </c>
      <c r="C24" s="13" t="s">
        <v>8</v>
      </c>
      <c r="D24" s="23">
        <f>3706.62+4090.24</f>
        <v>7796.86</v>
      </c>
      <c r="E24" s="23">
        <f t="shared" si="1"/>
        <v>5847.6449999999995</v>
      </c>
      <c r="F24" s="23">
        <f t="shared" si="3"/>
        <v>1949.2149999999999</v>
      </c>
      <c r="G24" s="23">
        <f>926.64+1022.56</f>
        <v>1949.1999999999998</v>
      </c>
      <c r="H24" s="12">
        <f t="shared" si="2"/>
        <v>3400.8849999999984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ht="15.75" customHeight="1" x14ac:dyDescent="0.25">
      <c r="A25" s="2"/>
      <c r="B25" s="22">
        <f t="shared" si="0"/>
        <v>46010</v>
      </c>
      <c r="C25" s="13" t="s">
        <v>8</v>
      </c>
      <c r="D25" s="23">
        <f>7833.87+1896.78</f>
        <v>9730.65</v>
      </c>
      <c r="E25" s="23">
        <f t="shared" si="1"/>
        <v>7297.9874999999993</v>
      </c>
      <c r="F25" s="23">
        <f t="shared" si="3"/>
        <v>2432.6624999999999</v>
      </c>
      <c r="G25" s="23">
        <f>1958.44+474.19</f>
        <v>2432.63</v>
      </c>
      <c r="H25" s="12">
        <f t="shared" si="2"/>
        <v>3400.9174999999987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ht="15.75" customHeight="1" x14ac:dyDescent="0.25">
      <c r="A26" s="2"/>
      <c r="B26" s="22">
        <f t="shared" si="0"/>
        <v>46013</v>
      </c>
      <c r="C26" s="13" t="s">
        <v>8</v>
      </c>
      <c r="D26" s="23">
        <f>4009.4+5300</f>
        <v>9309.4</v>
      </c>
      <c r="E26" s="23">
        <f t="shared" si="1"/>
        <v>6982.0499999999993</v>
      </c>
      <c r="F26" s="23">
        <f t="shared" si="3"/>
        <v>2327.35</v>
      </c>
      <c r="G26" s="23">
        <f>1002.35+1325</f>
        <v>2327.35</v>
      </c>
      <c r="H26" s="12">
        <f t="shared" si="2"/>
        <v>3400.9174999999982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x14ac:dyDescent="0.25">
      <c r="A27" s="2"/>
      <c r="B27" s="22">
        <f t="shared" si="0"/>
        <v>46014</v>
      </c>
      <c r="C27" s="13" t="s">
        <v>8</v>
      </c>
      <c r="D27" s="23">
        <f>17655.51+8506.6</f>
        <v>26162.11</v>
      </c>
      <c r="E27" s="23">
        <f t="shared" si="1"/>
        <v>19621.5825</v>
      </c>
      <c r="F27" s="23">
        <f t="shared" si="3"/>
        <v>6540.5275000000001</v>
      </c>
      <c r="G27" s="23">
        <f>4413.82+2126.65</f>
        <v>6540.4699999999993</v>
      </c>
      <c r="H27" s="12">
        <f t="shared" si="2"/>
        <v>3400.9749999999985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x14ac:dyDescent="0.25">
      <c r="A28" s="2"/>
      <c r="B28" s="22">
        <f t="shared" si="0"/>
        <v>46015</v>
      </c>
      <c r="C28" s="13" t="s">
        <v>8</v>
      </c>
      <c r="D28" s="23">
        <f>13933.49+5049.6</f>
        <v>18983.09</v>
      </c>
      <c r="E28" s="23">
        <f>D28-F28</f>
        <v>14237.317500000001</v>
      </c>
      <c r="F28" s="23">
        <f t="shared" si="3"/>
        <v>4745.7725</v>
      </c>
      <c r="G28" s="23">
        <f>3483.36+1262.4</f>
        <v>4745.76</v>
      </c>
      <c r="H28" s="12">
        <f t="shared" si="2"/>
        <v>3400.9874999999984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 16384:16384" ht="15.75" customHeight="1" x14ac:dyDescent="0.25">
      <c r="A29" s="2"/>
      <c r="B29" s="22">
        <f>B28+(MOD(B28,7)=6)*2+2</f>
        <v>46017</v>
      </c>
      <c r="C29" s="13" t="s">
        <v>8</v>
      </c>
      <c r="D29" s="23">
        <f>1402.44+7098.8</f>
        <v>8501.24</v>
      </c>
      <c r="E29" s="23">
        <f t="shared" si="1"/>
        <v>6375.93</v>
      </c>
      <c r="F29" s="23">
        <f t="shared" si="3"/>
        <v>2125.31</v>
      </c>
      <c r="G29" s="23">
        <f>350.59+1774.7</f>
        <v>2125.29</v>
      </c>
      <c r="H29" s="12">
        <f t="shared" si="2"/>
        <v>3401.0074999999988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XFD29">
        <f>SUM(A29:XFC29)</f>
        <v>68545.777499999997</v>
      </c>
    </row>
    <row r="30" spans="1:26 16384:16384" x14ac:dyDescent="0.25">
      <c r="A30" s="32"/>
      <c r="B30" s="22">
        <f t="shared" si="0"/>
        <v>46020</v>
      </c>
      <c r="C30" s="13" t="s">
        <v>8</v>
      </c>
      <c r="D30" s="38">
        <f>5161.73+9388</f>
        <v>14549.73</v>
      </c>
      <c r="E30" s="23">
        <f t="shared" si="1"/>
        <v>10912.297500000001</v>
      </c>
      <c r="F30" s="23">
        <f t="shared" si="3"/>
        <v>3637.4324999999999</v>
      </c>
      <c r="G30" s="23">
        <f>1290.4+2347</f>
        <v>3637.4</v>
      </c>
      <c r="H30" s="12">
        <f t="shared" si="2"/>
        <v>3401.0399999999986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 16384:16384" x14ac:dyDescent="0.25">
      <c r="A31" s="32"/>
      <c r="B31" s="22">
        <f t="shared" si="0"/>
        <v>46021</v>
      </c>
      <c r="C31" s="13" t="s">
        <v>8</v>
      </c>
      <c r="D31" s="38">
        <f>12937.17+5303.76</f>
        <v>18240.93</v>
      </c>
      <c r="E31" s="23">
        <f>D31-F31</f>
        <v>13680.6975</v>
      </c>
      <c r="F31" s="23">
        <f>+D31*0.25</f>
        <v>4560.2325000000001</v>
      </c>
      <c r="G31" s="38">
        <f>3234.21+1325.94</f>
        <v>4560.1499999999996</v>
      </c>
      <c r="H31" s="12">
        <f t="shared" si="2"/>
        <v>3401.1224999999995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 16384:16384" x14ac:dyDescent="0.25">
      <c r="A32" s="32"/>
      <c r="B32" s="22">
        <f t="shared" si="0"/>
        <v>46022</v>
      </c>
      <c r="C32" s="13" t="s">
        <v>8</v>
      </c>
      <c r="D32" s="38">
        <f>22175.18+1291.8</f>
        <v>23466.98</v>
      </c>
      <c r="E32" s="23">
        <f>D32-F32</f>
        <v>17600.235000000001</v>
      </c>
      <c r="F32" s="23">
        <f>+D32*0.25</f>
        <v>5866.7449999999999</v>
      </c>
      <c r="G32" s="38">
        <f>5543.6+322.95</f>
        <v>5866.55</v>
      </c>
      <c r="H32" s="12">
        <f t="shared" si="2"/>
        <v>3401.3175000000001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x14ac:dyDescent="0.25">
      <c r="A33" s="32" t="s">
        <v>12</v>
      </c>
      <c r="B33" s="22">
        <v>46022</v>
      </c>
      <c r="C33" s="13" t="s">
        <v>8</v>
      </c>
      <c r="D33" s="38">
        <v>5697.54</v>
      </c>
      <c r="E33" s="23">
        <f>D33-F33</f>
        <v>4273.1549999999997</v>
      </c>
      <c r="F33" s="23">
        <f>+D33*0.25</f>
        <v>1424.385</v>
      </c>
      <c r="G33" s="38">
        <v>0</v>
      </c>
      <c r="H33" s="12">
        <f t="shared" si="2"/>
        <v>4825.7025000000003</v>
      </c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 thickBot="1" x14ac:dyDescent="0.3">
      <c r="A34" s="2"/>
      <c r="B34" s="18" t="s">
        <v>9</v>
      </c>
      <c r="C34" s="19"/>
      <c r="D34" s="20">
        <f>SUM(D10:D30)</f>
        <v>196891.47999999998</v>
      </c>
      <c r="E34" s="20">
        <f>SUM(E10:E30)</f>
        <v>147668.61000000004</v>
      </c>
      <c r="F34" s="20">
        <f>SUM(F10:F30)</f>
        <v>49222.869999999995</v>
      </c>
      <c r="G34" s="20">
        <f>SUM(G10:G30)</f>
        <v>50987.770000000011</v>
      </c>
      <c r="H34" s="12">
        <f>H33</f>
        <v>4825.7025000000003</v>
      </c>
      <c r="I34" s="16"/>
      <c r="J34" s="2"/>
      <c r="K34" s="2"/>
      <c r="L34" s="2"/>
      <c r="M34" s="2">
        <v>1425.48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9"/>
      <c r="B35" s="64" t="s">
        <v>10</v>
      </c>
      <c r="C35" s="65"/>
      <c r="D35" s="65"/>
      <c r="E35" s="65"/>
      <c r="F35" s="65"/>
      <c r="G35" s="65"/>
      <c r="H35" s="66"/>
      <c r="I35" s="30"/>
      <c r="J35" s="2"/>
      <c r="K35" s="1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9"/>
      <c r="B36" s="67" t="s">
        <v>153</v>
      </c>
      <c r="C36" s="68"/>
      <c r="D36" s="68"/>
      <c r="E36" s="68"/>
      <c r="F36" s="68"/>
      <c r="G36" s="68"/>
      <c r="H36" s="69"/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1"/>
      <c r="B37" s="67" t="s">
        <v>152</v>
      </c>
      <c r="C37" s="90"/>
      <c r="D37" s="90"/>
      <c r="E37" s="90"/>
      <c r="F37" s="90"/>
      <c r="G37" s="90"/>
      <c r="H37" s="95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customHeight="1" x14ac:dyDescent="0.25">
      <c r="A38" s="31"/>
      <c r="B38" s="70" t="s">
        <v>151</v>
      </c>
      <c r="C38" s="71"/>
      <c r="D38" s="71"/>
      <c r="E38" s="71"/>
      <c r="F38" s="71"/>
      <c r="G38" s="71"/>
      <c r="H38" s="72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 x14ac:dyDescent="0.25">
      <c r="A39" s="31"/>
      <c r="B39" s="70"/>
      <c r="C39" s="71"/>
      <c r="D39" s="71"/>
      <c r="E39" s="71"/>
      <c r="F39" s="71"/>
      <c r="G39" s="71"/>
      <c r="H39" s="72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customHeight="1" thickBot="1" x14ac:dyDescent="0.3">
      <c r="A40" s="2"/>
      <c r="B40" s="45"/>
      <c r="C40" s="46"/>
      <c r="D40" s="46"/>
      <c r="E40" s="46"/>
      <c r="F40" s="46"/>
      <c r="G40" s="46"/>
      <c r="H40" s="4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6">
    <mergeCell ref="B38:H39"/>
    <mergeCell ref="B7:H7"/>
    <mergeCell ref="B9:G9"/>
    <mergeCell ref="B35:H35"/>
    <mergeCell ref="B36:H36"/>
    <mergeCell ref="B37:H37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XFD1003"/>
  <sheetViews>
    <sheetView topLeftCell="A7" zoomScale="110" zoomScaleNormal="110" workbookViewId="0">
      <selection activeCell="H18" sqref="H18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156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155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154</v>
      </c>
      <c r="C9" s="63"/>
      <c r="D9" s="63"/>
      <c r="E9" s="63"/>
      <c r="F9" s="63"/>
      <c r="G9" s="63"/>
      <c r="H9" s="12">
        <v>4825.7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46024</v>
      </c>
      <c r="C10" s="13" t="s">
        <v>8</v>
      </c>
      <c r="D10" s="23">
        <v>5807</v>
      </c>
      <c r="E10" s="23">
        <f>D10-F10</f>
        <v>4355.25</v>
      </c>
      <c r="F10" s="23">
        <f>+D10*0.25</f>
        <v>1451.75</v>
      </c>
      <c r="G10" s="23">
        <v>1451.75</v>
      </c>
      <c r="H10" s="12">
        <f>H9+F10-G10</f>
        <v>4825.7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0">B10+(MOD(B10,7)=6)*2+1</f>
        <v>46027</v>
      </c>
      <c r="C11" s="13" t="s">
        <v>8</v>
      </c>
      <c r="D11" s="23">
        <f>22326.2+7436.39</f>
        <v>29762.59</v>
      </c>
      <c r="E11" s="23">
        <f t="shared" ref="E11:E33" si="1">D11-F11</f>
        <v>22321.942500000001</v>
      </c>
      <c r="F11" s="23">
        <f>+D11*0.25</f>
        <v>7440.6475</v>
      </c>
      <c r="G11" s="23">
        <f>1859.06+5581.55</f>
        <v>7440.6100000000006</v>
      </c>
      <c r="H11" s="12">
        <f t="shared" ref="H11:H33" si="2">H10+F11-G11</f>
        <v>4825.7374999999993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46028</v>
      </c>
      <c r="C12" s="13" t="s">
        <v>8</v>
      </c>
      <c r="D12" s="23">
        <f>20830.49+14200.8</f>
        <v>35031.29</v>
      </c>
      <c r="E12" s="23">
        <f t="shared" si="1"/>
        <v>26273.467499999999</v>
      </c>
      <c r="F12" s="23">
        <f t="shared" ref="F12:F33" si="3">+D12*0.25</f>
        <v>8757.8225000000002</v>
      </c>
      <c r="G12" s="23">
        <f>5207.57+3550.2</f>
        <v>8757.77</v>
      </c>
      <c r="H12" s="12">
        <f t="shared" si="2"/>
        <v>4825.7899999999991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>B12+(MOD(B12,7)=6)*2+1</f>
        <v>46029</v>
      </c>
      <c r="C13" s="13" t="s">
        <v>8</v>
      </c>
      <c r="D13" s="23">
        <f>10997.98+21730</f>
        <v>32727.98</v>
      </c>
      <c r="E13" s="23">
        <f>D13-F13</f>
        <v>24545.985000000001</v>
      </c>
      <c r="F13" s="23">
        <f>+D13*0.25</f>
        <v>8181.9949999999999</v>
      </c>
      <c r="G13" s="23">
        <f>2749.48+5432.5</f>
        <v>8181.98</v>
      </c>
      <c r="H13" s="12">
        <f>H12+F13-G13</f>
        <v>4825.8050000000003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46030</v>
      </c>
      <c r="C14" s="13" t="s">
        <v>8</v>
      </c>
      <c r="D14" s="23">
        <f>19770.22+14124.4</f>
        <v>33894.620000000003</v>
      </c>
      <c r="E14" s="23">
        <f t="shared" si="1"/>
        <v>25420.965000000004</v>
      </c>
      <c r="F14" s="23">
        <f t="shared" si="3"/>
        <v>8473.6550000000007</v>
      </c>
      <c r="G14" s="23">
        <f>4942.52+3531.1</f>
        <v>8473.6200000000008</v>
      </c>
      <c r="H14" s="12">
        <f t="shared" si="2"/>
        <v>4825.84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46031</v>
      </c>
      <c r="C15" s="13" t="s">
        <v>8</v>
      </c>
      <c r="D15" s="23">
        <f>12355.81+13244.8</f>
        <v>25600.61</v>
      </c>
      <c r="E15" s="23">
        <f t="shared" si="1"/>
        <v>19200.4575</v>
      </c>
      <c r="F15" s="23">
        <f t="shared" si="3"/>
        <v>6400.1525000000001</v>
      </c>
      <c r="G15" s="23">
        <f>3088.9+3311.2</f>
        <v>6400.1</v>
      </c>
      <c r="H15" s="12">
        <f t="shared" si="2"/>
        <v>4825.8924999999999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46034</v>
      </c>
      <c r="C16" s="13" t="s">
        <v>8</v>
      </c>
      <c r="D16" s="23">
        <f>15712.18+22626.2</f>
        <v>38338.380000000005</v>
      </c>
      <c r="E16" s="23">
        <f t="shared" si="1"/>
        <v>28753.785000000003</v>
      </c>
      <c r="F16" s="23">
        <f t="shared" si="3"/>
        <v>9584.5950000000012</v>
      </c>
      <c r="G16" s="23">
        <f>3928.01+5656.55</f>
        <v>9584.5600000000013</v>
      </c>
      <c r="H16" s="12">
        <f t="shared" si="2"/>
        <v>4825.9274999999998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 16384:16384" x14ac:dyDescent="0.25">
      <c r="A17" s="53" t="s">
        <v>12</v>
      </c>
      <c r="B17" s="48">
        <v>46034</v>
      </c>
      <c r="C17" s="49" t="s">
        <v>157</v>
      </c>
      <c r="D17" s="50">
        <v>0</v>
      </c>
      <c r="E17" s="50">
        <v>0</v>
      </c>
      <c r="F17" s="50">
        <v>0</v>
      </c>
      <c r="G17" s="50">
        <v>3400.22</v>
      </c>
      <c r="H17" s="51">
        <f>H16+F17-G17</f>
        <v>1425.7075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 16384:16384" x14ac:dyDescent="0.25">
      <c r="A18" s="2"/>
      <c r="B18" s="22">
        <f>B16+(MOD(B16,7)=6)*2+1</f>
        <v>46035</v>
      </c>
      <c r="C18" s="13" t="s">
        <v>8</v>
      </c>
      <c r="D18" s="23">
        <f>28383.51+11150.85</f>
        <v>39534.36</v>
      </c>
      <c r="E18" s="23">
        <f t="shared" si="1"/>
        <v>29650.77</v>
      </c>
      <c r="F18" s="23">
        <f t="shared" si="3"/>
        <v>9883.59</v>
      </c>
      <c r="G18" s="23">
        <f>7095.82+2787.71</f>
        <v>9883.5299999999988</v>
      </c>
      <c r="H18" s="12">
        <f t="shared" si="2"/>
        <v>1425.7675000000017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 t="shared" si="0"/>
        <v>46036</v>
      </c>
      <c r="C19" s="13" t="s">
        <v>8</v>
      </c>
      <c r="D19" s="23">
        <f>9462.45+10796.8</f>
        <v>20259.25</v>
      </c>
      <c r="E19" s="23">
        <f t="shared" si="1"/>
        <v>15194.4375</v>
      </c>
      <c r="F19" s="23">
        <f t="shared" si="3"/>
        <v>5064.8125</v>
      </c>
      <c r="G19" s="23">
        <f>2365.6+2699.2</f>
        <v>5064.7999999999993</v>
      </c>
      <c r="H19" s="12">
        <f t="shared" si="2"/>
        <v>1425.7800000000025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0"/>
        <v>46037</v>
      </c>
      <c r="C20" s="13" t="s">
        <v>8</v>
      </c>
      <c r="D20" s="23">
        <f>11377.33+8896.8</f>
        <v>20274.129999999997</v>
      </c>
      <c r="E20" s="23">
        <f t="shared" si="1"/>
        <v>15205.597499999998</v>
      </c>
      <c r="F20" s="23">
        <f t="shared" si="3"/>
        <v>5068.5324999999993</v>
      </c>
      <c r="G20" s="23">
        <f>2844.32+2224.2</f>
        <v>5068.5200000000004</v>
      </c>
      <c r="H20" s="12">
        <f t="shared" si="2"/>
        <v>1425.7925000000014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x14ac:dyDescent="0.25">
      <c r="A21" s="2"/>
      <c r="B21" s="22">
        <f t="shared" si="0"/>
        <v>46038</v>
      </c>
      <c r="C21" s="13" t="s">
        <v>8</v>
      </c>
      <c r="D21" s="23">
        <f>19061.31+9240.2+564.4</f>
        <v>28865.910000000003</v>
      </c>
      <c r="E21" s="23">
        <f t="shared" si="1"/>
        <v>21649.432500000003</v>
      </c>
      <c r="F21" s="23">
        <f t="shared" si="3"/>
        <v>7216.4775000000009</v>
      </c>
      <c r="G21" s="23">
        <f>4765.3+2451.15</f>
        <v>7216.4500000000007</v>
      </c>
      <c r="H21" s="12">
        <f t="shared" si="2"/>
        <v>1425.8200000000015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ht="15.75" customHeight="1" x14ac:dyDescent="0.25">
      <c r="A22" s="2"/>
      <c r="B22" s="22">
        <f>B21+(MOD(B21,7)=6)*2+1</f>
        <v>46041</v>
      </c>
      <c r="C22" s="13" t="s">
        <v>8</v>
      </c>
      <c r="D22" s="23">
        <f>10392.7+19224.4</f>
        <v>29617.100000000002</v>
      </c>
      <c r="E22" s="23">
        <f t="shared" si="1"/>
        <v>22212.825000000001</v>
      </c>
      <c r="F22" s="23">
        <f t="shared" si="3"/>
        <v>7404.2750000000005</v>
      </c>
      <c r="G22" s="23">
        <f>2598.17+4806.1</f>
        <v>7404.27</v>
      </c>
      <c r="H22" s="12">
        <f t="shared" si="2"/>
        <v>1425.8250000000007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x14ac:dyDescent="0.25">
      <c r="A23" s="2"/>
      <c r="B23" s="22">
        <f t="shared" si="0"/>
        <v>46042</v>
      </c>
      <c r="C23" s="13" t="s">
        <v>8</v>
      </c>
      <c r="D23" s="23">
        <f>29150.36+16328.2</f>
        <v>45478.559999999998</v>
      </c>
      <c r="E23" s="23">
        <f t="shared" si="1"/>
        <v>34108.92</v>
      </c>
      <c r="F23" s="23">
        <f t="shared" si="3"/>
        <v>11369.64</v>
      </c>
      <c r="G23" s="23">
        <f>7287.58+4082.05</f>
        <v>11369.630000000001</v>
      </c>
      <c r="H23" s="12">
        <f t="shared" si="2"/>
        <v>1425.8349999999991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x14ac:dyDescent="0.25">
      <c r="A24" s="2"/>
      <c r="B24" s="22">
        <f t="shared" si="0"/>
        <v>46043</v>
      </c>
      <c r="C24" s="13" t="s">
        <v>8</v>
      </c>
      <c r="D24" s="23">
        <f>23111.21+18389.6</f>
        <v>41500.81</v>
      </c>
      <c r="E24" s="23">
        <f t="shared" si="1"/>
        <v>31125.607499999998</v>
      </c>
      <c r="F24" s="23">
        <f t="shared" si="3"/>
        <v>10375.202499999999</v>
      </c>
      <c r="G24" s="23">
        <f>5777.77+4597.4</f>
        <v>10375.17</v>
      </c>
      <c r="H24" s="12">
        <f t="shared" si="2"/>
        <v>1425.8674999999985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ht="15.75" customHeight="1" x14ac:dyDescent="0.25">
      <c r="A25" s="2"/>
      <c r="B25" s="22">
        <f t="shared" si="0"/>
        <v>46044</v>
      </c>
      <c r="C25" s="13" t="s">
        <v>8</v>
      </c>
      <c r="D25" s="23">
        <f>15374.65+19758.1</f>
        <v>35132.75</v>
      </c>
      <c r="E25" s="23">
        <f t="shared" si="1"/>
        <v>26349.5625</v>
      </c>
      <c r="F25" s="23">
        <f t="shared" si="3"/>
        <v>8783.1875</v>
      </c>
      <c r="G25" s="23">
        <f>3843.66+4939.52</f>
        <v>8783.18</v>
      </c>
      <c r="H25" s="12">
        <f t="shared" si="2"/>
        <v>1425.8749999999982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ht="15.75" customHeight="1" x14ac:dyDescent="0.25">
      <c r="A26" s="2"/>
      <c r="B26" s="22">
        <f t="shared" si="0"/>
        <v>46045</v>
      </c>
      <c r="C26" s="13" t="s">
        <v>8</v>
      </c>
      <c r="D26" s="23">
        <f>15391.72+11067.6</f>
        <v>26459.32</v>
      </c>
      <c r="E26" s="23">
        <f t="shared" si="1"/>
        <v>19844.489999999998</v>
      </c>
      <c r="F26" s="23">
        <f t="shared" si="3"/>
        <v>6614.83</v>
      </c>
      <c r="G26" s="23">
        <f>3847.91+2766.9</f>
        <v>6614.8099999999995</v>
      </c>
      <c r="H26" s="12">
        <f t="shared" si="2"/>
        <v>1425.8949999999986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x14ac:dyDescent="0.25">
      <c r="A27" s="2"/>
      <c r="B27" s="22">
        <f t="shared" si="0"/>
        <v>46048</v>
      </c>
      <c r="C27" s="13" t="s">
        <v>8</v>
      </c>
      <c r="D27" s="23">
        <f>14317.14+33088.7</f>
        <v>47405.84</v>
      </c>
      <c r="E27" s="23">
        <f t="shared" si="1"/>
        <v>35554.379999999997</v>
      </c>
      <c r="F27" s="23">
        <f t="shared" si="3"/>
        <v>11851.46</v>
      </c>
      <c r="G27" s="23">
        <f>3579.27+8272.17</f>
        <v>11851.44</v>
      </c>
      <c r="H27" s="12">
        <f t="shared" si="2"/>
        <v>1425.9149999999972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x14ac:dyDescent="0.25">
      <c r="A28" s="2"/>
      <c r="B28" s="22">
        <f t="shared" si="0"/>
        <v>46049</v>
      </c>
      <c r="C28" s="13" t="s">
        <v>8</v>
      </c>
      <c r="D28" s="23">
        <f>54607.96+31612.8+132.8</f>
        <v>86353.56</v>
      </c>
      <c r="E28" s="23">
        <f>D28-F28</f>
        <v>64765.17</v>
      </c>
      <c r="F28" s="23">
        <f t="shared" si="3"/>
        <v>21588.39</v>
      </c>
      <c r="G28" s="23">
        <f>13651.96+7936.4</f>
        <v>21588.36</v>
      </c>
      <c r="H28" s="12">
        <f t="shared" si="2"/>
        <v>1425.9449999999961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 16384:16384" ht="15.75" customHeight="1" x14ac:dyDescent="0.25">
      <c r="A29" s="2"/>
      <c r="B29" s="22">
        <f>B28+(MOD(B28,7)=6)*2+1</f>
        <v>46050</v>
      </c>
      <c r="C29" s="13" t="s">
        <v>8</v>
      </c>
      <c r="D29" s="23">
        <f>65472.94+29822.4+132.8</f>
        <v>95428.14</v>
      </c>
      <c r="E29" s="23">
        <f t="shared" si="1"/>
        <v>71571.104999999996</v>
      </c>
      <c r="F29" s="23">
        <f t="shared" si="3"/>
        <v>23857.035</v>
      </c>
      <c r="G29" s="23">
        <f>16368.22+7488.8</f>
        <v>23857.02</v>
      </c>
      <c r="H29" s="12">
        <f t="shared" si="2"/>
        <v>1425.9599999999955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XFD29">
        <f>SUM(A29:XFC29)</f>
        <v>262189.26</v>
      </c>
    </row>
    <row r="30" spans="1:26 16384:16384" x14ac:dyDescent="0.25">
      <c r="A30" s="32"/>
      <c r="B30" s="22">
        <f t="shared" si="0"/>
        <v>46051</v>
      </c>
      <c r="C30" s="13" t="s">
        <v>8</v>
      </c>
      <c r="D30" s="38">
        <f>56782.44+42369.8+1349.8</f>
        <v>100502.04000000001</v>
      </c>
      <c r="E30" s="23">
        <f t="shared" si="1"/>
        <v>75376.53</v>
      </c>
      <c r="F30" s="23">
        <f t="shared" si="3"/>
        <v>25125.510000000002</v>
      </c>
      <c r="G30" s="23">
        <f>14195.56+10929.9</f>
        <v>25125.46</v>
      </c>
      <c r="H30" s="12">
        <f t="shared" si="2"/>
        <v>1426.0099999999984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 16384:16384" x14ac:dyDescent="0.25">
      <c r="A31" s="32"/>
      <c r="B31" s="22">
        <f t="shared" si="0"/>
        <v>46052</v>
      </c>
      <c r="C31" s="13" t="s">
        <v>8</v>
      </c>
      <c r="D31" s="38">
        <f>103994.96+82902.4+962.8</f>
        <v>187860.15999999997</v>
      </c>
      <c r="E31" s="23">
        <f t="shared" si="1"/>
        <v>140895.12</v>
      </c>
      <c r="F31" s="23">
        <f t="shared" si="3"/>
        <v>46965.039999999994</v>
      </c>
      <c r="G31" s="38">
        <f>25998.7+20966.3</f>
        <v>46965</v>
      </c>
      <c r="H31" s="12">
        <f t="shared" si="2"/>
        <v>1426.0499999999884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 16384:16384" x14ac:dyDescent="0.25">
      <c r="A32" s="32"/>
      <c r="B32" s="22">
        <f t="shared" si="0"/>
        <v>46055</v>
      </c>
      <c r="C32" s="13" t="s">
        <v>8</v>
      </c>
      <c r="D32" s="38">
        <f>22175.18+1291.8</f>
        <v>23466.98</v>
      </c>
      <c r="E32" s="23">
        <f t="shared" si="1"/>
        <v>17600.235000000001</v>
      </c>
      <c r="F32" s="23">
        <f t="shared" si="3"/>
        <v>5866.7449999999999</v>
      </c>
      <c r="G32" s="38">
        <f>5543.6+322.95</f>
        <v>5866.55</v>
      </c>
      <c r="H32" s="12">
        <f t="shared" si="2"/>
        <v>1426.2449999999881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x14ac:dyDescent="0.25">
      <c r="A33" s="52" t="s">
        <v>12</v>
      </c>
      <c r="B33" s="22">
        <v>46022</v>
      </c>
      <c r="C33" s="13" t="s">
        <v>8</v>
      </c>
      <c r="D33" s="38">
        <v>1681.22</v>
      </c>
      <c r="E33" s="23">
        <f t="shared" si="1"/>
        <v>1260.915</v>
      </c>
      <c r="F33" s="23">
        <f t="shared" si="3"/>
        <v>420.30500000000001</v>
      </c>
      <c r="G33" s="38">
        <v>0</v>
      </c>
      <c r="H33" s="12">
        <f t="shared" si="2"/>
        <v>1846.5499999999881</v>
      </c>
      <c r="I33" s="31"/>
      <c r="J33" s="39">
        <f>H33-1425.48</f>
        <v>421.06999999998811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 thickBot="1" x14ac:dyDescent="0.3">
      <c r="A34" s="2"/>
      <c r="B34" s="18" t="s">
        <v>9</v>
      </c>
      <c r="C34" s="19"/>
      <c r="D34" s="20">
        <f>SUM(D10:D30)</f>
        <v>817974.24000000011</v>
      </c>
      <c r="E34" s="20">
        <f>SUM(E10:E30)</f>
        <v>613480.68000000005</v>
      </c>
      <c r="F34" s="20">
        <f>SUM(F10:F30)</f>
        <v>204493.56000000003</v>
      </c>
      <c r="G34" s="20">
        <f>SUM(G10:G30)</f>
        <v>207893.25</v>
      </c>
      <c r="H34" s="12">
        <f>H33</f>
        <v>1846.5499999999881</v>
      </c>
      <c r="I34" s="1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9"/>
      <c r="B35" s="64" t="s">
        <v>10</v>
      </c>
      <c r="C35" s="65"/>
      <c r="D35" s="65"/>
      <c r="E35" s="65"/>
      <c r="F35" s="65"/>
      <c r="G35" s="65"/>
      <c r="H35" s="66"/>
      <c r="I35" s="30"/>
      <c r="J35" s="2"/>
      <c r="K35" s="1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9"/>
      <c r="B36" s="67" t="s">
        <v>158</v>
      </c>
      <c r="C36" s="68"/>
      <c r="D36" s="68"/>
      <c r="E36" s="68"/>
      <c r="F36" s="68"/>
      <c r="G36" s="68"/>
      <c r="H36" s="69"/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1"/>
      <c r="B37" s="67" t="s">
        <v>159</v>
      </c>
      <c r="C37" s="90"/>
      <c r="D37" s="90"/>
      <c r="E37" s="90"/>
      <c r="F37" s="90"/>
      <c r="G37" s="90"/>
      <c r="H37" s="95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customHeight="1" x14ac:dyDescent="0.25">
      <c r="A38" s="31"/>
      <c r="B38" s="70" t="s">
        <v>160</v>
      </c>
      <c r="C38" s="71"/>
      <c r="D38" s="71"/>
      <c r="E38" s="71"/>
      <c r="F38" s="71"/>
      <c r="G38" s="71"/>
      <c r="H38" s="72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 x14ac:dyDescent="0.25">
      <c r="A39" s="31"/>
      <c r="B39" s="70"/>
      <c r="C39" s="71"/>
      <c r="D39" s="71"/>
      <c r="E39" s="71"/>
      <c r="F39" s="71"/>
      <c r="G39" s="71"/>
      <c r="H39" s="72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customHeight="1" thickBot="1" x14ac:dyDescent="0.3">
      <c r="A40" s="2"/>
      <c r="B40" s="45"/>
      <c r="C40" s="46"/>
      <c r="D40" s="46"/>
      <c r="E40" s="46"/>
      <c r="F40" s="46"/>
      <c r="G40" s="46"/>
      <c r="H40" s="4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6">
    <mergeCell ref="B38:H39"/>
    <mergeCell ref="B7:H7"/>
    <mergeCell ref="B9:G9"/>
    <mergeCell ref="B35:H35"/>
    <mergeCell ref="B36:H36"/>
    <mergeCell ref="B37:H37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FD1001"/>
  <sheetViews>
    <sheetView topLeftCell="A4" zoomScale="110" zoomScaleNormal="110" workbookViewId="0">
      <selection activeCell="F13" sqref="F13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162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155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161</v>
      </c>
      <c r="C9" s="63"/>
      <c r="D9" s="63"/>
      <c r="E9" s="63"/>
      <c r="F9" s="63"/>
      <c r="G9" s="63"/>
      <c r="H9" s="12">
        <v>1846.55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46055</v>
      </c>
      <c r="C10" s="13" t="s">
        <v>8</v>
      </c>
      <c r="D10" s="23">
        <f>367715.57+28624.8</f>
        <v>396340.37</v>
      </c>
      <c r="E10" s="23">
        <f>D10-F10</f>
        <v>297255.27749999997</v>
      </c>
      <c r="F10" s="23">
        <f>+D10*0.25</f>
        <v>99085.092499999999</v>
      </c>
      <c r="G10" s="23">
        <f>91928.61+7156.2</f>
        <v>99084.81</v>
      </c>
      <c r="H10" s="12">
        <f t="shared" ref="H10:H17" si="0">H9+F10-G10</f>
        <v>1846.8325000000041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0" si="1">B10+(MOD(B10,7)=6)*2+1</f>
        <v>46056</v>
      </c>
      <c r="C11" s="13" t="s">
        <v>8</v>
      </c>
      <c r="D11" s="23">
        <v>33176.839999999997</v>
      </c>
      <c r="E11" s="23">
        <f t="shared" ref="E11:E30" si="2">D11-F11</f>
        <v>24882.629999999997</v>
      </c>
      <c r="F11" s="23">
        <f>+D11*0.25</f>
        <v>8294.2099999999991</v>
      </c>
      <c r="G11" s="23">
        <v>8294.15</v>
      </c>
      <c r="H11" s="12">
        <f t="shared" si="0"/>
        <v>1846.8925000000036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1"/>
        <v>46057</v>
      </c>
      <c r="C12" s="13" t="s">
        <v>8</v>
      </c>
      <c r="D12" s="23">
        <v>15504.35</v>
      </c>
      <c r="E12" s="23">
        <f t="shared" si="2"/>
        <v>11628.262500000001</v>
      </c>
      <c r="F12" s="23">
        <f t="shared" ref="F12:F30" si="3">+D12*0.25</f>
        <v>3876.0875000000001</v>
      </c>
      <c r="G12" s="23">
        <v>3876.07</v>
      </c>
      <c r="H12" s="12">
        <f t="shared" si="0"/>
        <v>1846.910000000003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>B12+(MOD(B12,7)=6)*2+1</f>
        <v>46058</v>
      </c>
      <c r="C13" s="13" t="s">
        <v>8</v>
      </c>
      <c r="D13" s="23">
        <v>12450.29</v>
      </c>
      <c r="E13" s="23">
        <f>D13-F13</f>
        <v>9337.7175000000007</v>
      </c>
      <c r="F13" s="23">
        <f>+D13*0.25</f>
        <v>3112.5725000000002</v>
      </c>
      <c r="G13" s="23">
        <v>3112.55</v>
      </c>
      <c r="H13" s="12">
        <f t="shared" si="0"/>
        <v>1846.9325000000035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1"/>
        <v>46059</v>
      </c>
      <c r="C14" s="13" t="s">
        <v>8</v>
      </c>
      <c r="D14" s="23">
        <v>21395.9</v>
      </c>
      <c r="E14" s="23">
        <f t="shared" si="2"/>
        <v>16046.925000000001</v>
      </c>
      <c r="F14" s="23">
        <f t="shared" si="3"/>
        <v>5348.9750000000004</v>
      </c>
      <c r="G14" s="23">
        <v>5348.95</v>
      </c>
      <c r="H14" s="12">
        <f t="shared" si="0"/>
        <v>1846.9575000000041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1"/>
        <v>46062</v>
      </c>
      <c r="C15" s="13" t="s">
        <v>8</v>
      </c>
      <c r="D15" s="23">
        <v>14684.1</v>
      </c>
      <c r="E15" s="23">
        <f t="shared" si="2"/>
        <v>11013.075000000001</v>
      </c>
      <c r="F15" s="23">
        <f t="shared" si="3"/>
        <v>3671.0250000000001</v>
      </c>
      <c r="G15" s="23">
        <v>3671</v>
      </c>
      <c r="H15" s="12">
        <f t="shared" si="0"/>
        <v>1846.9825000000037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1"/>
      <c r="B16" s="48">
        <v>46062</v>
      </c>
      <c r="C16" s="49" t="s">
        <v>157</v>
      </c>
      <c r="D16" s="50">
        <v>0</v>
      </c>
      <c r="E16" s="50">
        <v>0</v>
      </c>
      <c r="F16" s="50">
        <v>0</v>
      </c>
      <c r="G16" s="50">
        <v>1425.48</v>
      </c>
      <c r="H16" s="12">
        <f t="shared" si="0"/>
        <v>421.50250000000369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 16384:16384" x14ac:dyDescent="0.25">
      <c r="A17" s="2"/>
      <c r="B17" s="22">
        <f>B15+(MOD(B15,7)=6)*2+1</f>
        <v>46063</v>
      </c>
      <c r="C17" s="13" t="s">
        <v>8</v>
      </c>
      <c r="D17" s="23">
        <v>13047.74</v>
      </c>
      <c r="E17" s="23">
        <f t="shared" si="2"/>
        <v>9785.8050000000003</v>
      </c>
      <c r="F17" s="23">
        <f t="shared" si="3"/>
        <v>3261.9349999999999</v>
      </c>
      <c r="G17" s="23">
        <v>3261.92</v>
      </c>
      <c r="H17" s="12">
        <f t="shared" si="0"/>
        <v>421.51750000000357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 16384:16384" x14ac:dyDescent="0.25">
      <c r="A18" s="2"/>
      <c r="B18" s="22">
        <f>B17+(MOD(B17,7)=6)*2+1</f>
        <v>46064</v>
      </c>
      <c r="C18" s="13" t="s">
        <v>8</v>
      </c>
      <c r="D18" s="23">
        <v>15037.81</v>
      </c>
      <c r="E18" s="23">
        <f t="shared" si="2"/>
        <v>11278.3575</v>
      </c>
      <c r="F18" s="23">
        <f t="shared" si="3"/>
        <v>3759.4524999999999</v>
      </c>
      <c r="G18" s="23">
        <v>3759.41</v>
      </c>
      <c r="H18" s="12">
        <f t="shared" ref="H18:H31" si="4">H17+F18-G18</f>
        <v>421.56000000000313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 t="shared" si="1"/>
        <v>46065</v>
      </c>
      <c r="C19" s="13" t="s">
        <v>8</v>
      </c>
      <c r="D19" s="23">
        <v>10629.29</v>
      </c>
      <c r="E19" s="23">
        <f t="shared" si="2"/>
        <v>7971.9675000000007</v>
      </c>
      <c r="F19" s="23">
        <f t="shared" si="3"/>
        <v>2657.3225000000002</v>
      </c>
      <c r="G19" s="23">
        <v>2657.29</v>
      </c>
      <c r="H19" s="12">
        <f t="shared" si="4"/>
        <v>421.59250000000338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1"/>
        <v>46066</v>
      </c>
      <c r="C20" s="13" t="s">
        <v>8</v>
      </c>
      <c r="D20" s="23">
        <v>28331.69</v>
      </c>
      <c r="E20" s="23">
        <f t="shared" si="2"/>
        <v>21248.767499999998</v>
      </c>
      <c r="F20" s="23">
        <f t="shared" si="3"/>
        <v>7082.9224999999997</v>
      </c>
      <c r="G20" s="23">
        <v>7082.9</v>
      </c>
      <c r="H20" s="12">
        <f t="shared" si="4"/>
        <v>421.61500000000342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x14ac:dyDescent="0.25">
      <c r="A21" s="2"/>
      <c r="B21" s="22">
        <f t="shared" si="1"/>
        <v>46069</v>
      </c>
      <c r="C21" s="13" t="s">
        <v>8</v>
      </c>
      <c r="D21" s="23">
        <v>0</v>
      </c>
      <c r="E21" s="23">
        <f t="shared" si="2"/>
        <v>0</v>
      </c>
      <c r="F21" s="23">
        <f t="shared" si="3"/>
        <v>0</v>
      </c>
      <c r="G21" s="23">
        <v>0</v>
      </c>
      <c r="H21" s="12">
        <f t="shared" si="4"/>
        <v>421.61500000000342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ht="15.75" customHeight="1" x14ac:dyDescent="0.25">
      <c r="A22" s="2"/>
      <c r="B22" s="22">
        <f>B21+(MOD(B21,7)=6)*2+1</f>
        <v>46070</v>
      </c>
      <c r="C22" s="13" t="s">
        <v>8</v>
      </c>
      <c r="D22" s="23">
        <v>0</v>
      </c>
      <c r="E22" s="23">
        <f t="shared" si="2"/>
        <v>0</v>
      </c>
      <c r="F22" s="23">
        <f t="shared" si="3"/>
        <v>0</v>
      </c>
      <c r="G22" s="23">
        <v>0</v>
      </c>
      <c r="H22" s="12">
        <f t="shared" si="4"/>
        <v>421.61500000000342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x14ac:dyDescent="0.25">
      <c r="A23" s="2"/>
      <c r="B23" s="22">
        <f t="shared" si="1"/>
        <v>46071</v>
      </c>
      <c r="C23" s="13" t="s">
        <v>8</v>
      </c>
      <c r="D23" s="23">
        <v>17915.89</v>
      </c>
      <c r="E23" s="23">
        <f t="shared" si="2"/>
        <v>13436.9175</v>
      </c>
      <c r="F23" s="23">
        <f t="shared" si="3"/>
        <v>4478.9724999999999</v>
      </c>
      <c r="G23" s="23">
        <v>4478.96</v>
      </c>
      <c r="H23" s="12">
        <f t="shared" si="4"/>
        <v>421.62750000000324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x14ac:dyDescent="0.25">
      <c r="A24" s="2"/>
      <c r="B24" s="22">
        <f t="shared" si="1"/>
        <v>46072</v>
      </c>
      <c r="C24" s="13" t="s">
        <v>8</v>
      </c>
      <c r="D24" s="23">
        <v>17303.009999999998</v>
      </c>
      <c r="E24" s="23">
        <f t="shared" si="2"/>
        <v>12977.2575</v>
      </c>
      <c r="F24" s="23">
        <f t="shared" si="3"/>
        <v>4325.7524999999996</v>
      </c>
      <c r="G24" s="23">
        <v>4325.74</v>
      </c>
      <c r="H24" s="12">
        <f t="shared" si="4"/>
        <v>421.64000000000306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ht="15.75" customHeight="1" x14ac:dyDescent="0.25">
      <c r="A25" s="2"/>
      <c r="B25" s="22">
        <f t="shared" si="1"/>
        <v>46073</v>
      </c>
      <c r="C25" s="13" t="s">
        <v>8</v>
      </c>
      <c r="D25" s="23">
        <v>12004.5</v>
      </c>
      <c r="E25" s="23">
        <f t="shared" si="2"/>
        <v>9003.375</v>
      </c>
      <c r="F25" s="23">
        <f t="shared" si="3"/>
        <v>3001.125</v>
      </c>
      <c r="G25" s="23">
        <v>3001.12</v>
      </c>
      <c r="H25" s="12">
        <f t="shared" si="4"/>
        <v>421.64500000000317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ht="15.75" customHeight="1" x14ac:dyDescent="0.25">
      <c r="A26" s="2"/>
      <c r="B26" s="22">
        <f t="shared" si="1"/>
        <v>46076</v>
      </c>
      <c r="C26" s="13" t="s">
        <v>8</v>
      </c>
      <c r="D26" s="23">
        <v>20240.32</v>
      </c>
      <c r="E26" s="23">
        <f t="shared" si="2"/>
        <v>15180.24</v>
      </c>
      <c r="F26" s="23">
        <f t="shared" si="3"/>
        <v>5060.08</v>
      </c>
      <c r="G26" s="23">
        <v>5060.07</v>
      </c>
      <c r="H26" s="12">
        <f t="shared" si="4"/>
        <v>421.65500000000338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x14ac:dyDescent="0.25">
      <c r="A27" s="2"/>
      <c r="B27" s="22">
        <f t="shared" si="1"/>
        <v>46077</v>
      </c>
      <c r="C27" s="13" t="s">
        <v>8</v>
      </c>
      <c r="D27" s="23">
        <v>12392.69</v>
      </c>
      <c r="E27" s="23">
        <f t="shared" si="2"/>
        <v>9294.5174999999999</v>
      </c>
      <c r="F27" s="23">
        <f t="shared" si="3"/>
        <v>3098.1725000000001</v>
      </c>
      <c r="G27" s="23">
        <v>3098.16</v>
      </c>
      <c r="H27" s="12">
        <f t="shared" si="4"/>
        <v>421.66750000000366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x14ac:dyDescent="0.25">
      <c r="A28" s="2"/>
      <c r="B28" s="22">
        <f t="shared" si="1"/>
        <v>46078</v>
      </c>
      <c r="C28" s="13" t="s">
        <v>8</v>
      </c>
      <c r="D28" s="23">
        <v>17029.62</v>
      </c>
      <c r="E28" s="23">
        <f>D28-F28</f>
        <v>12772.215</v>
      </c>
      <c r="F28" s="23">
        <f t="shared" si="3"/>
        <v>4257.4049999999997</v>
      </c>
      <c r="G28" s="23">
        <v>4257.3999999999996</v>
      </c>
      <c r="H28" s="12">
        <f t="shared" si="4"/>
        <v>421.67250000000422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 16384:16384" ht="15.75" customHeight="1" x14ac:dyDescent="0.25">
      <c r="A29" s="2"/>
      <c r="B29" s="22">
        <f>B28+(MOD(B28,7)=6)*2+1</f>
        <v>46079</v>
      </c>
      <c r="C29" s="13" t="s">
        <v>8</v>
      </c>
      <c r="D29" s="23">
        <v>21739.360000000001</v>
      </c>
      <c r="E29" s="23">
        <f t="shared" si="2"/>
        <v>16304.52</v>
      </c>
      <c r="F29" s="23">
        <f t="shared" si="3"/>
        <v>5434.84</v>
      </c>
      <c r="G29" s="23">
        <v>5434.82</v>
      </c>
      <c r="H29" s="12">
        <f t="shared" si="4"/>
        <v>421.69250000000466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XFD29">
        <f>SUM(A29:XFC29)</f>
        <v>95414.232500000013</v>
      </c>
    </row>
    <row r="30" spans="1:26 16384:16384" x14ac:dyDescent="0.25">
      <c r="A30" s="32"/>
      <c r="B30" s="22">
        <f t="shared" si="1"/>
        <v>46080</v>
      </c>
      <c r="C30" s="13" t="s">
        <v>8</v>
      </c>
      <c r="D30" s="38">
        <v>37493.800000000003</v>
      </c>
      <c r="E30" s="23">
        <f t="shared" si="2"/>
        <v>28120.350000000002</v>
      </c>
      <c r="F30" s="23">
        <f t="shared" si="3"/>
        <v>9373.4500000000007</v>
      </c>
      <c r="G30" s="23">
        <v>9373.43</v>
      </c>
      <c r="H30" s="12">
        <f t="shared" si="4"/>
        <v>421.71250000000509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 16384:16384" x14ac:dyDescent="0.25">
      <c r="A31" s="52"/>
      <c r="B31" s="22"/>
      <c r="C31" s="13"/>
      <c r="D31" s="38"/>
      <c r="E31" s="23"/>
      <c r="F31" s="23"/>
      <c r="G31" s="38"/>
      <c r="H31" s="12">
        <f t="shared" si="4"/>
        <v>421.71250000000509</v>
      </c>
      <c r="I31" s="31"/>
      <c r="J31" s="39">
        <f>H31-421.07</f>
        <v>0.64250000000509999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 16384:16384" ht="15.75" customHeight="1" thickBot="1" x14ac:dyDescent="0.3">
      <c r="A32" s="2"/>
      <c r="B32" s="18" t="s">
        <v>9</v>
      </c>
      <c r="C32" s="19"/>
      <c r="D32" s="20">
        <f>SUM(D10:D30)</f>
        <v>716717.56999999983</v>
      </c>
      <c r="E32" s="20">
        <f>SUM(E10:E30)</f>
        <v>537538.17750000011</v>
      </c>
      <c r="F32" s="20">
        <f>SUM(F10:F30)</f>
        <v>179179.39249999996</v>
      </c>
      <c r="G32" s="20">
        <f>SUM(G10:G30)</f>
        <v>180604.22999999998</v>
      </c>
      <c r="H32" s="12">
        <f>H31</f>
        <v>421.71250000000509</v>
      </c>
      <c r="I32" s="1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9"/>
      <c r="B33" s="64" t="s">
        <v>10</v>
      </c>
      <c r="C33" s="65"/>
      <c r="D33" s="65"/>
      <c r="E33" s="65"/>
      <c r="F33" s="65"/>
      <c r="G33" s="65"/>
      <c r="H33" s="66"/>
      <c r="I33" s="30"/>
      <c r="J33" s="2"/>
      <c r="K33" s="1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9"/>
      <c r="B34" s="67" t="s">
        <v>163</v>
      </c>
      <c r="C34" s="68"/>
      <c r="D34" s="68"/>
      <c r="E34" s="68"/>
      <c r="F34" s="68"/>
      <c r="G34" s="68"/>
      <c r="H34" s="69"/>
      <c r="I34" s="3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31"/>
      <c r="B35" s="67" t="s">
        <v>164</v>
      </c>
      <c r="C35" s="90"/>
      <c r="D35" s="90"/>
      <c r="E35" s="90"/>
      <c r="F35" s="90"/>
      <c r="G35" s="90"/>
      <c r="H35" s="95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 x14ac:dyDescent="0.25">
      <c r="A36" s="31"/>
      <c r="B36" s="70"/>
      <c r="C36" s="71"/>
      <c r="D36" s="71"/>
      <c r="E36" s="71"/>
      <c r="F36" s="71"/>
      <c r="G36" s="71"/>
      <c r="H36" s="72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.75" customHeight="1" x14ac:dyDescent="0.25">
      <c r="A37" s="31"/>
      <c r="B37" s="70"/>
      <c r="C37" s="71"/>
      <c r="D37" s="71"/>
      <c r="E37" s="71"/>
      <c r="F37" s="71"/>
      <c r="G37" s="71"/>
      <c r="H37" s="72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customHeight="1" thickBot="1" x14ac:dyDescent="0.3">
      <c r="A38" s="2"/>
      <c r="B38" s="45"/>
      <c r="C38" s="46"/>
      <c r="D38" s="46"/>
      <c r="E38" s="46"/>
      <c r="F38" s="46"/>
      <c r="G38" s="46"/>
      <c r="H38" s="4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6">
    <mergeCell ref="B36:H37"/>
    <mergeCell ref="B7:H7"/>
    <mergeCell ref="B9:G9"/>
    <mergeCell ref="B33:H33"/>
    <mergeCell ref="B34:H34"/>
    <mergeCell ref="B35:H35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35812-EC8E-4337-B78B-8DA856116E86}">
  <dimension ref="A1:XFD1006"/>
  <sheetViews>
    <sheetView topLeftCell="A24" zoomScale="110" zoomScaleNormal="110" workbookViewId="0">
      <selection activeCell="B41" sqref="B41:H42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171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172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165</v>
      </c>
      <c r="C9" s="63"/>
      <c r="D9" s="63"/>
      <c r="E9" s="63"/>
      <c r="F9" s="63"/>
      <c r="G9" s="63"/>
      <c r="H9" s="12">
        <v>421.71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46083</v>
      </c>
      <c r="C10" s="13" t="s">
        <v>8</v>
      </c>
      <c r="D10" s="23">
        <f>92469.68+6845.54</f>
        <v>99315.219999999987</v>
      </c>
      <c r="E10" s="23">
        <f>D10-F10</f>
        <v>74486.414999999994</v>
      </c>
      <c r="F10" s="23">
        <f>+D10*0.25</f>
        <v>24828.804999999997</v>
      </c>
      <c r="G10" s="23">
        <f>23117.35+1711.37</f>
        <v>24828.719999999998</v>
      </c>
      <c r="H10" s="12">
        <f>H9+F10-G10</f>
        <v>421.79499999999825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3" si="0">B10+(MOD(B10,7)=6)*2+1</f>
        <v>46084</v>
      </c>
      <c r="C11" s="13" t="s">
        <v>8</v>
      </c>
      <c r="D11" s="23">
        <f>20782.01+2799.51</f>
        <v>23581.519999999997</v>
      </c>
      <c r="E11" s="23">
        <f t="shared" ref="E11:E34" si="1">D11-F11</f>
        <v>17686.14</v>
      </c>
      <c r="F11" s="23">
        <f>+D11*0.25</f>
        <v>5895.3799999999992</v>
      </c>
      <c r="G11" s="23">
        <f>5195.33+699.87</f>
        <v>5895.2</v>
      </c>
      <c r="H11" s="12">
        <f t="shared" ref="H11:H35" si="2">H10+F11-G11</f>
        <v>421.97499999999764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46085</v>
      </c>
      <c r="C12" s="13" t="s">
        <v>8</v>
      </c>
      <c r="D12" s="23">
        <f>6858.4+2010</f>
        <v>8868.4</v>
      </c>
      <c r="E12" s="23">
        <f t="shared" si="1"/>
        <v>6651.2999999999993</v>
      </c>
      <c r="F12" s="23">
        <f t="shared" ref="F12:F33" si="3">+D12*0.25</f>
        <v>2217.1</v>
      </c>
      <c r="G12" s="23">
        <f>1714.58+502.5</f>
        <v>2217.08</v>
      </c>
      <c r="H12" s="12">
        <f t="shared" si="2"/>
        <v>421.99499999999762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2" t="s">
        <v>12</v>
      </c>
      <c r="B13" s="48">
        <v>46085</v>
      </c>
      <c r="C13" s="49" t="s">
        <v>8</v>
      </c>
      <c r="D13" s="50">
        <v>0</v>
      </c>
      <c r="E13" s="50">
        <v>0</v>
      </c>
      <c r="F13" s="50">
        <v>0</v>
      </c>
      <c r="G13" s="50">
        <v>421.07</v>
      </c>
      <c r="H13" s="12">
        <f t="shared" si="2"/>
        <v>0.92499999999762395</v>
      </c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x14ac:dyDescent="0.25">
      <c r="A14" s="2"/>
      <c r="B14" s="22">
        <f>B12+(MOD(B12,7)=6)*2+1</f>
        <v>46086</v>
      </c>
      <c r="C14" s="13" t="s">
        <v>8</v>
      </c>
      <c r="D14" s="23">
        <f>9476.81+3273.43</f>
        <v>12750.24</v>
      </c>
      <c r="E14" s="23">
        <f>D14-F14</f>
        <v>9562.68</v>
      </c>
      <c r="F14" s="23">
        <f>+D14*0.25</f>
        <v>3187.56</v>
      </c>
      <c r="G14" s="23">
        <f>2369.2+818.35</f>
        <v>3187.5499999999997</v>
      </c>
      <c r="H14" s="12">
        <f t="shared" si="2"/>
        <v>0.93499999999767169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46087</v>
      </c>
      <c r="C15" s="13" t="s">
        <v>8</v>
      </c>
      <c r="D15" s="23">
        <f>9795.14+1500.88</f>
        <v>11296.02</v>
      </c>
      <c r="E15" s="23">
        <f t="shared" si="1"/>
        <v>8472.0149999999994</v>
      </c>
      <c r="F15" s="23">
        <f t="shared" si="3"/>
        <v>2824.0050000000001</v>
      </c>
      <c r="G15" s="23">
        <f>2448.77+375.22</f>
        <v>2823.99</v>
      </c>
      <c r="H15" s="12">
        <f t="shared" si="2"/>
        <v>0.94999999999799911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46090</v>
      </c>
      <c r="C16" s="13" t="s">
        <v>8</v>
      </c>
      <c r="D16" s="23">
        <f>9656.24+5396.2+132.8</f>
        <v>15185.239999999998</v>
      </c>
      <c r="E16" s="23">
        <f t="shared" si="1"/>
        <v>11388.929999999998</v>
      </c>
      <c r="F16" s="23">
        <f t="shared" si="3"/>
        <v>3796.3099999999995</v>
      </c>
      <c r="G16" s="23">
        <f>2414.05+1382.25</f>
        <v>3796.3</v>
      </c>
      <c r="H16" s="12">
        <f t="shared" si="2"/>
        <v>0.9599999999973079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 16384:16384" x14ac:dyDescent="0.25">
      <c r="A17" s="2"/>
      <c r="B17" s="22">
        <f>B16+(MOD(B16,7)=6)*2+1</f>
        <v>46091</v>
      </c>
      <c r="C17" s="13" t="s">
        <v>8</v>
      </c>
      <c r="D17" s="23">
        <f>8138.37+2620.4</f>
        <v>10758.77</v>
      </c>
      <c r="E17" s="23">
        <f t="shared" si="1"/>
        <v>8069.0775000000003</v>
      </c>
      <c r="F17" s="23">
        <f t="shared" si="3"/>
        <v>2689.6925000000001</v>
      </c>
      <c r="G17" s="23">
        <f>2034.57+655.1</f>
        <v>2689.67</v>
      </c>
      <c r="H17" s="12">
        <f t="shared" si="2"/>
        <v>0.98249999999734428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 16384:16384" x14ac:dyDescent="0.25">
      <c r="A18" s="2"/>
      <c r="B18" s="22">
        <f>B17+(MOD(B17,7)=6)*2+1</f>
        <v>46092</v>
      </c>
      <c r="C18" s="13" t="s">
        <v>8</v>
      </c>
      <c r="D18" s="23">
        <f>5281.47+2056.22</f>
        <v>7337.6900000000005</v>
      </c>
      <c r="E18" s="23">
        <f t="shared" si="1"/>
        <v>5503.2674999999999</v>
      </c>
      <c r="F18" s="23">
        <f t="shared" si="3"/>
        <v>1834.4225000000001</v>
      </c>
      <c r="G18" s="23">
        <f>1320.36+514.04</f>
        <v>1834.3999999999999</v>
      </c>
      <c r="H18" s="12">
        <f t="shared" si="2"/>
        <v>1.004999999997608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 t="shared" si="0"/>
        <v>46093</v>
      </c>
      <c r="C19" s="13" t="s">
        <v>8</v>
      </c>
      <c r="D19" s="23">
        <f>2263.66+2888.21</f>
        <v>5151.87</v>
      </c>
      <c r="E19" s="23">
        <f t="shared" si="1"/>
        <v>3863.9025000000001</v>
      </c>
      <c r="F19" s="23">
        <f t="shared" si="3"/>
        <v>1287.9675</v>
      </c>
      <c r="G19" s="23">
        <f>565.91+722.05</f>
        <v>1287.96</v>
      </c>
      <c r="H19" s="12">
        <f t="shared" si="2"/>
        <v>1.0124999999975444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0"/>
        <v>46094</v>
      </c>
      <c r="C20" s="13" t="s">
        <v>8</v>
      </c>
      <c r="D20" s="23">
        <f>2087.15+1490.4</f>
        <v>3577.55</v>
      </c>
      <c r="E20" s="23">
        <f t="shared" si="1"/>
        <v>2683.1625000000004</v>
      </c>
      <c r="F20" s="23">
        <f t="shared" si="3"/>
        <v>894.38750000000005</v>
      </c>
      <c r="G20" s="23">
        <f>521.78+372.6</f>
        <v>894.38</v>
      </c>
      <c r="H20" s="12">
        <f t="shared" si="2"/>
        <v>1.0199999999975944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x14ac:dyDescent="0.25">
      <c r="A21" s="2"/>
      <c r="B21" s="22">
        <f t="shared" si="0"/>
        <v>46097</v>
      </c>
      <c r="C21" s="13" t="s">
        <v>8</v>
      </c>
      <c r="D21" s="23">
        <f>3890.33+3464.4</f>
        <v>7354.73</v>
      </c>
      <c r="E21" s="23">
        <f t="shared" si="1"/>
        <v>5516.0474999999997</v>
      </c>
      <c r="F21" s="23">
        <f t="shared" si="3"/>
        <v>1838.6824999999999</v>
      </c>
      <c r="G21" s="23">
        <f>972.57+866.1</f>
        <v>1838.67</v>
      </c>
      <c r="H21" s="12">
        <f t="shared" si="2"/>
        <v>1.0324999999975262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ht="15.75" customHeight="1" x14ac:dyDescent="0.25">
      <c r="A22" s="2"/>
      <c r="B22" s="22">
        <f>B21+(MOD(B21,7)=6)*2+1</f>
        <v>46098</v>
      </c>
      <c r="C22" s="13" t="s">
        <v>8</v>
      </c>
      <c r="D22" s="23">
        <f>5265.82+3357.2</f>
        <v>8623.02</v>
      </c>
      <c r="E22" s="23">
        <f t="shared" si="1"/>
        <v>6467.2650000000003</v>
      </c>
      <c r="F22" s="23">
        <f t="shared" si="3"/>
        <v>2155.7550000000001</v>
      </c>
      <c r="G22" s="23">
        <f>1316.45+839.3</f>
        <v>2155.75</v>
      </c>
      <c r="H22" s="12">
        <f t="shared" si="2"/>
        <v>1.0374999999976353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x14ac:dyDescent="0.25">
      <c r="A23" s="2"/>
      <c r="B23" s="22">
        <f t="shared" si="0"/>
        <v>46099</v>
      </c>
      <c r="C23" s="13" t="s">
        <v>8</v>
      </c>
      <c r="D23" s="23">
        <f>7742.33+1765.6</f>
        <v>9507.93</v>
      </c>
      <c r="E23" s="23">
        <f t="shared" si="1"/>
        <v>7130.9475000000002</v>
      </c>
      <c r="F23" s="23">
        <f t="shared" si="3"/>
        <v>2376.9825000000001</v>
      </c>
      <c r="G23" s="23">
        <f>1935.57+441.4</f>
        <v>2376.9699999999998</v>
      </c>
      <c r="H23" s="12">
        <f t="shared" si="2"/>
        <v>1.0499999999979082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x14ac:dyDescent="0.25">
      <c r="A24" s="2"/>
      <c r="B24" s="22">
        <f t="shared" si="0"/>
        <v>46100</v>
      </c>
      <c r="C24" s="13" t="s">
        <v>8</v>
      </c>
      <c r="D24" s="23">
        <f>4924.09+605.6</f>
        <v>5529.6900000000005</v>
      </c>
      <c r="E24" s="23">
        <f t="shared" si="1"/>
        <v>4147.2674999999999</v>
      </c>
      <c r="F24" s="23">
        <f t="shared" si="3"/>
        <v>1382.4225000000001</v>
      </c>
      <c r="G24" s="23">
        <f>1231.02+151.4</f>
        <v>1382.42</v>
      </c>
      <c r="H24" s="12">
        <f t="shared" si="2"/>
        <v>1.0524999999979627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ht="15.75" customHeight="1" x14ac:dyDescent="0.25">
      <c r="A25" s="2"/>
      <c r="B25" s="22">
        <f t="shared" si="0"/>
        <v>46101</v>
      </c>
      <c r="C25" s="13" t="s">
        <v>8</v>
      </c>
      <c r="D25" s="23">
        <f>10554.01+2509.57</f>
        <v>13063.58</v>
      </c>
      <c r="E25" s="23">
        <f t="shared" si="1"/>
        <v>9797.6849999999995</v>
      </c>
      <c r="F25" s="23">
        <f t="shared" si="3"/>
        <v>3265.895</v>
      </c>
      <c r="G25" s="23">
        <f>2638.49+627.39</f>
        <v>3265.8799999999997</v>
      </c>
      <c r="H25" s="12">
        <f t="shared" si="2"/>
        <v>1.0674999999982901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ht="15.75" customHeight="1" x14ac:dyDescent="0.25">
      <c r="A26" s="2"/>
      <c r="B26" s="22">
        <f t="shared" si="0"/>
        <v>46104</v>
      </c>
      <c r="C26" s="13" t="s">
        <v>8</v>
      </c>
      <c r="D26" s="23">
        <f>3095.2+6005.36</f>
        <v>9100.56</v>
      </c>
      <c r="E26" s="23">
        <f t="shared" si="1"/>
        <v>6825.42</v>
      </c>
      <c r="F26" s="23">
        <f t="shared" si="3"/>
        <v>2275.14</v>
      </c>
      <c r="G26" s="23">
        <f>773.8+1501.34</f>
        <v>2275.14</v>
      </c>
      <c r="H26" s="12">
        <f t="shared" si="2"/>
        <v>1.0674999999982901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x14ac:dyDescent="0.25">
      <c r="A27" s="2"/>
      <c r="B27" s="22">
        <f t="shared" si="0"/>
        <v>46105</v>
      </c>
      <c r="C27" s="13" t="s">
        <v>8</v>
      </c>
      <c r="D27" s="23">
        <f>4873.37+4184.2</f>
        <v>9057.57</v>
      </c>
      <c r="E27" s="23">
        <f t="shared" si="1"/>
        <v>6793.1774999999998</v>
      </c>
      <c r="F27" s="23">
        <f t="shared" si="3"/>
        <v>2264.3924999999999</v>
      </c>
      <c r="G27" s="23">
        <f>1218.34+1046.04</f>
        <v>2264.38</v>
      </c>
      <c r="H27" s="12">
        <f t="shared" si="2"/>
        <v>1.0799999999981083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x14ac:dyDescent="0.25">
      <c r="A28" s="2"/>
      <c r="B28" s="22">
        <f t="shared" si="0"/>
        <v>46106</v>
      </c>
      <c r="C28" s="13" t="s">
        <v>8</v>
      </c>
      <c r="D28" s="23">
        <f>5683.49+924.8</f>
        <v>6608.29</v>
      </c>
      <c r="E28" s="23">
        <f>D28-F28</f>
        <v>4956.2174999999997</v>
      </c>
      <c r="F28" s="23">
        <f t="shared" si="3"/>
        <v>1652.0725</v>
      </c>
      <c r="G28" s="23">
        <f>1420.87+231.2</f>
        <v>1652.07</v>
      </c>
      <c r="H28" s="12">
        <f t="shared" si="2"/>
        <v>1.0824999999981628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 16384:16384" x14ac:dyDescent="0.25">
      <c r="A29" s="32" t="s">
        <v>13</v>
      </c>
      <c r="B29" s="48">
        <v>46106</v>
      </c>
      <c r="C29" s="49" t="s">
        <v>8</v>
      </c>
      <c r="D29" s="50">
        <v>0</v>
      </c>
      <c r="E29" s="50">
        <v>0</v>
      </c>
      <c r="F29" s="50">
        <v>0</v>
      </c>
      <c r="G29" s="50">
        <v>0.64</v>
      </c>
      <c r="H29" s="12">
        <f t="shared" si="2"/>
        <v>0.44249999999816281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 16384:16384" ht="15.75" customHeight="1" x14ac:dyDescent="0.25">
      <c r="A30" s="2"/>
      <c r="B30" s="22">
        <f>B28+(MOD(B28,7)=6)*2+1</f>
        <v>46107</v>
      </c>
      <c r="C30" s="13" t="s">
        <v>8</v>
      </c>
      <c r="D30" s="23">
        <f>6606.38+701.2</f>
        <v>7307.58</v>
      </c>
      <c r="E30" s="23">
        <f t="shared" si="1"/>
        <v>5480.6849999999995</v>
      </c>
      <c r="F30" s="23">
        <f t="shared" si="3"/>
        <v>1826.895</v>
      </c>
      <c r="G30" s="23">
        <f>1651.59+175.3</f>
        <v>1826.8899999999999</v>
      </c>
      <c r="H30" s="12">
        <f t="shared" si="2"/>
        <v>0.44749999999817192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XFD30">
        <f>SUM(A30:XFC30)</f>
        <v>62549.49749999999</v>
      </c>
    </row>
    <row r="31" spans="1:26 16384:16384" x14ac:dyDescent="0.25">
      <c r="A31" s="32"/>
      <c r="B31" s="22">
        <f t="shared" si="0"/>
        <v>46108</v>
      </c>
      <c r="C31" s="13" t="s">
        <v>8</v>
      </c>
      <c r="D31" s="38">
        <f>4684.76+1442.8</f>
        <v>6127.56</v>
      </c>
      <c r="E31" s="23">
        <f t="shared" si="1"/>
        <v>4595.67</v>
      </c>
      <c r="F31" s="23">
        <f t="shared" si="3"/>
        <v>1531.89</v>
      </c>
      <c r="G31" s="23">
        <f>1171.18+360.7</f>
        <v>1531.88</v>
      </c>
      <c r="H31" s="12">
        <f t="shared" si="2"/>
        <v>0.45749999999816282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 16384:16384" x14ac:dyDescent="0.25">
      <c r="A32" s="32"/>
      <c r="B32" s="22">
        <f t="shared" si="0"/>
        <v>46111</v>
      </c>
      <c r="C32" s="13" t="s">
        <v>8</v>
      </c>
      <c r="D32" s="38">
        <f>13533.51+4581.8</f>
        <v>18115.310000000001</v>
      </c>
      <c r="E32" s="23">
        <f t="shared" si="1"/>
        <v>13586.482500000002</v>
      </c>
      <c r="F32" s="23">
        <f t="shared" si="3"/>
        <v>4528.8275000000003</v>
      </c>
      <c r="G32" s="38">
        <f>3383.34+1145.45</f>
        <v>4528.79</v>
      </c>
      <c r="H32" s="12">
        <f t="shared" si="2"/>
        <v>0.49499999999807187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x14ac:dyDescent="0.25">
      <c r="A33" s="32"/>
      <c r="B33" s="22">
        <f t="shared" si="0"/>
        <v>46112</v>
      </c>
      <c r="C33" s="13" t="s">
        <v>8</v>
      </c>
      <c r="D33" s="38">
        <f>24473.63+10334.4</f>
        <v>34808.03</v>
      </c>
      <c r="E33" s="23">
        <f t="shared" si="1"/>
        <v>26106.022499999999</v>
      </c>
      <c r="F33" s="23">
        <f t="shared" si="3"/>
        <v>8702.0074999999997</v>
      </c>
      <c r="G33" s="38">
        <f>6118.29+2583.6</f>
        <v>8701.89</v>
      </c>
      <c r="H33" s="12">
        <f t="shared" si="2"/>
        <v>0.6124999999992724</v>
      </c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x14ac:dyDescent="0.25">
      <c r="A34" s="32"/>
      <c r="B34" s="22">
        <v>46112</v>
      </c>
      <c r="C34" s="13" t="s">
        <v>8</v>
      </c>
      <c r="D34" s="38">
        <v>3182.6</v>
      </c>
      <c r="E34" s="23">
        <f t="shared" si="1"/>
        <v>2386.9499999999998</v>
      </c>
      <c r="F34" s="23">
        <f>+D34*0.25</f>
        <v>795.65</v>
      </c>
      <c r="G34" s="38">
        <v>0</v>
      </c>
      <c r="H34" s="12">
        <f>H33+F34-G34</f>
        <v>796.26249999999925</v>
      </c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x14ac:dyDescent="0.25">
      <c r="A35" s="52"/>
      <c r="B35" s="22"/>
      <c r="C35" s="13"/>
      <c r="D35" s="38"/>
      <c r="E35" s="23"/>
      <c r="F35" s="23"/>
      <c r="G35" s="38"/>
      <c r="H35" s="12">
        <f t="shared" si="2"/>
        <v>796.26249999999925</v>
      </c>
      <c r="I35" s="31"/>
      <c r="J35" s="39"/>
      <c r="K35" s="31" t="s">
        <v>170</v>
      </c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 thickBot="1" x14ac:dyDescent="0.3">
      <c r="A36" s="2"/>
      <c r="B36" s="18" t="s">
        <v>9</v>
      </c>
      <c r="C36" s="19"/>
      <c r="D36" s="20">
        <f>SUM(D10:D34)</f>
        <v>336208.96999999986</v>
      </c>
      <c r="E36" s="20">
        <f>SUM(E10:E34)</f>
        <v>252156.72750000001</v>
      </c>
      <c r="F36" s="20">
        <f>SUM(F10:F35)</f>
        <v>84052.242499999964</v>
      </c>
      <c r="G36" s="20">
        <f>SUM(G10:G35)</f>
        <v>83677.689999999988</v>
      </c>
      <c r="H36" s="12">
        <f>H35</f>
        <v>796.26249999999925</v>
      </c>
      <c r="I36" s="1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9"/>
      <c r="B37" s="64" t="s">
        <v>10</v>
      </c>
      <c r="C37" s="65"/>
      <c r="D37" s="65"/>
      <c r="E37" s="65"/>
      <c r="F37" s="65"/>
      <c r="G37" s="65"/>
      <c r="H37" s="66"/>
      <c r="I37" s="30"/>
      <c r="J37" s="2"/>
      <c r="K37" s="1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9"/>
      <c r="B38" s="67" t="s">
        <v>169</v>
      </c>
      <c r="C38" s="68"/>
      <c r="D38" s="68"/>
      <c r="E38" s="68"/>
      <c r="F38" s="68"/>
      <c r="G38" s="68"/>
      <c r="H38" s="69"/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31"/>
      <c r="B39" s="67"/>
      <c r="C39" s="68"/>
      <c r="D39" s="68"/>
      <c r="E39" s="68"/>
      <c r="F39" s="68"/>
      <c r="G39" s="68"/>
      <c r="H39" s="69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customHeight="1" x14ac:dyDescent="0.25">
      <c r="A40" s="31"/>
      <c r="B40" s="67" t="s">
        <v>166</v>
      </c>
      <c r="C40" s="90"/>
      <c r="D40" s="90"/>
      <c r="E40" s="90"/>
      <c r="F40" s="90"/>
      <c r="G40" s="90"/>
      <c r="H40" s="95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5.75" customHeight="1" x14ac:dyDescent="0.25">
      <c r="A41" s="31"/>
      <c r="B41" s="70" t="s">
        <v>167</v>
      </c>
      <c r="C41" s="71"/>
      <c r="D41" s="71"/>
      <c r="E41" s="71"/>
      <c r="F41" s="71"/>
      <c r="G41" s="71"/>
      <c r="H41" s="72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33.75" customHeight="1" x14ac:dyDescent="0.25">
      <c r="A42" s="31"/>
      <c r="B42" s="70" t="s">
        <v>168</v>
      </c>
      <c r="C42" s="71"/>
      <c r="D42" s="71"/>
      <c r="E42" s="71"/>
      <c r="F42" s="71"/>
      <c r="G42" s="71"/>
      <c r="H42" s="72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5.75" customHeight="1" thickBot="1" x14ac:dyDescent="0.3">
      <c r="A43" s="2"/>
      <c r="B43" s="45"/>
      <c r="C43" s="46"/>
      <c r="D43" s="46"/>
      <c r="E43" s="46"/>
      <c r="F43" s="46"/>
      <c r="G43" s="46"/>
      <c r="H43" s="47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8">
    <mergeCell ref="B41:H41"/>
    <mergeCell ref="B42:H42"/>
    <mergeCell ref="B39:H39"/>
    <mergeCell ref="B7:H7"/>
    <mergeCell ref="B9:G9"/>
    <mergeCell ref="B37:H37"/>
    <mergeCell ref="B38:H38"/>
    <mergeCell ref="B40:H40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C8C72-4ECE-4EC7-BEE4-3DC4226F16BE}">
  <dimension ref="A1:XFD1002"/>
  <sheetViews>
    <sheetView topLeftCell="A19" zoomScale="110" zoomScaleNormal="110" workbookViewId="0">
      <selection activeCell="H33" sqref="H33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173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176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174</v>
      </c>
      <c r="C9" s="63"/>
      <c r="D9" s="63"/>
      <c r="E9" s="63"/>
      <c r="F9" s="63"/>
      <c r="G9" s="63"/>
      <c r="H9" s="12">
        <v>796.26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46113</v>
      </c>
      <c r="C10" s="13" t="s">
        <v>8</v>
      </c>
      <c r="D10" s="23">
        <f>38436.15+1859.2</f>
        <v>40295.35</v>
      </c>
      <c r="E10" s="23">
        <f>D10-F10</f>
        <v>30221.512499999997</v>
      </c>
      <c r="F10" s="23">
        <f>+D10*0.25</f>
        <v>10073.8375</v>
      </c>
      <c r="G10" s="23">
        <f>9609.01+464.8</f>
        <v>10073.81</v>
      </c>
      <c r="H10" s="12">
        <f>H9+F10-G10</f>
        <v>796.28750000000036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1" si="0">B10+(MOD(B10,7)=6)*2+1</f>
        <v>46114</v>
      </c>
      <c r="C11" s="13" t="s">
        <v>8</v>
      </c>
      <c r="D11" s="23">
        <f>9905.34+531.2+132.8</f>
        <v>10569.34</v>
      </c>
      <c r="E11" s="23">
        <f t="shared" ref="E11:E32" si="1">D11-F11</f>
        <v>7927.0050000000001</v>
      </c>
      <c r="F11" s="23">
        <f>+D11*0.25</f>
        <v>2642.335</v>
      </c>
      <c r="G11" s="23">
        <f>2476.27+166</f>
        <v>2642.27</v>
      </c>
      <c r="H11" s="12">
        <f t="shared" ref="H11:H33" si="2">H10+F11-G11</f>
        <v>796.35250000000042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46115</v>
      </c>
      <c r="C12" s="13" t="s">
        <v>8</v>
      </c>
      <c r="D12" s="23">
        <v>0</v>
      </c>
      <c r="E12" s="23">
        <f t="shared" si="1"/>
        <v>0</v>
      </c>
      <c r="F12" s="23">
        <f t="shared" ref="F12:F31" si="3">+D12*0.25</f>
        <v>0</v>
      </c>
      <c r="G12" s="23">
        <v>0</v>
      </c>
      <c r="H12" s="12">
        <f t="shared" si="2"/>
        <v>796.35250000000042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>B12+(MOD(B12,7)=6)*2+1</f>
        <v>46118</v>
      </c>
      <c r="C13" s="13" t="s">
        <v>8</v>
      </c>
      <c r="D13" s="23">
        <f>1781.51+2675.2</f>
        <v>4456.71</v>
      </c>
      <c r="E13" s="23">
        <f>D13-F13</f>
        <v>3342.5325000000003</v>
      </c>
      <c r="F13" s="23">
        <f>+D13*0.25</f>
        <v>1114.1775</v>
      </c>
      <c r="G13" s="23">
        <f>445.37+668.8</f>
        <v>1114.17</v>
      </c>
      <c r="H13" s="12">
        <f>H12+F13-G13</f>
        <v>796.36000000000035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46119</v>
      </c>
      <c r="C14" s="13" t="s">
        <v>8</v>
      </c>
      <c r="D14" s="23">
        <f>4308.58+4625.01</f>
        <v>8933.59</v>
      </c>
      <c r="E14" s="23">
        <f t="shared" si="1"/>
        <v>6700.1925000000001</v>
      </c>
      <c r="F14" s="23">
        <f t="shared" si="3"/>
        <v>2233.3975</v>
      </c>
      <c r="G14" s="23">
        <f>1077.13+1156.24</f>
        <v>2233.37</v>
      </c>
      <c r="H14" s="12">
        <f t="shared" si="2"/>
        <v>796.38750000000073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46120</v>
      </c>
      <c r="C15" s="13" t="s">
        <v>8</v>
      </c>
      <c r="D15" s="23">
        <f>4519.87+2133.6</f>
        <v>6653.4699999999993</v>
      </c>
      <c r="E15" s="23">
        <f t="shared" si="1"/>
        <v>4990.1024999999991</v>
      </c>
      <c r="F15" s="23">
        <f t="shared" si="3"/>
        <v>1663.3674999999998</v>
      </c>
      <c r="G15" s="23">
        <f>1129.95+533.4</f>
        <v>1663.35</v>
      </c>
      <c r="H15" s="12">
        <f t="shared" si="2"/>
        <v>796.40500000000065</v>
      </c>
      <c r="I15" s="2"/>
      <c r="J15" s="2"/>
      <c r="K15" s="2"/>
      <c r="L15" s="2" t="s">
        <v>178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>B15+(MOD(B15,7)=6)*2+1</f>
        <v>46121</v>
      </c>
      <c r="C16" s="13" t="s">
        <v>8</v>
      </c>
      <c r="D16" s="23">
        <f>5691.54+2214</f>
        <v>7905.54</v>
      </c>
      <c r="E16" s="23">
        <f t="shared" si="1"/>
        <v>5929.1549999999997</v>
      </c>
      <c r="F16" s="23">
        <f t="shared" si="3"/>
        <v>1976.385</v>
      </c>
      <c r="G16" s="23">
        <f>1422.88+553.5</f>
        <v>1976.38</v>
      </c>
      <c r="H16" s="12">
        <f t="shared" si="2"/>
        <v>796.41000000000076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 16384:16384" x14ac:dyDescent="0.25">
      <c r="A17" s="2"/>
      <c r="B17" s="22">
        <f>B16+(MOD(B16,7)=6)*2+1</f>
        <v>46122</v>
      </c>
      <c r="C17" s="13" t="s">
        <v>8</v>
      </c>
      <c r="D17" s="23">
        <f>6803.69+2464.8</f>
        <v>9268.49</v>
      </c>
      <c r="E17" s="23">
        <f t="shared" si="1"/>
        <v>6951.3675000000003</v>
      </c>
      <c r="F17" s="23">
        <f t="shared" si="3"/>
        <v>2317.1224999999999</v>
      </c>
      <c r="G17" s="23">
        <f>1700.92+616.2</f>
        <v>2317.12</v>
      </c>
      <c r="H17" s="12">
        <f t="shared" si="2"/>
        <v>796.41250000000082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 16384:16384" x14ac:dyDescent="0.25">
      <c r="A18" s="2"/>
      <c r="B18" s="22">
        <f t="shared" si="0"/>
        <v>46125</v>
      </c>
      <c r="C18" s="13" t="s">
        <v>8</v>
      </c>
      <c r="D18" s="23">
        <f>3003.34+664</f>
        <v>3667.34</v>
      </c>
      <c r="E18" s="23">
        <f t="shared" si="1"/>
        <v>2750.5050000000001</v>
      </c>
      <c r="F18" s="23">
        <f t="shared" si="3"/>
        <v>916.83500000000004</v>
      </c>
      <c r="G18" s="23">
        <f>750.83+166</f>
        <v>916.83</v>
      </c>
      <c r="H18" s="12">
        <f t="shared" si="2"/>
        <v>796.41750000000081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 t="shared" si="0"/>
        <v>46126</v>
      </c>
      <c r="C19" s="13" t="s">
        <v>8</v>
      </c>
      <c r="D19" s="23">
        <f>970.52+556.8</f>
        <v>1527.32</v>
      </c>
      <c r="E19" s="23">
        <f t="shared" si="1"/>
        <v>1145.49</v>
      </c>
      <c r="F19" s="23">
        <f t="shared" si="3"/>
        <v>381.83</v>
      </c>
      <c r="G19" s="23">
        <f>242.62+139.2</f>
        <v>381.82</v>
      </c>
      <c r="H19" s="12">
        <f t="shared" si="2"/>
        <v>796.42750000000092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0"/>
        <v>46127</v>
      </c>
      <c r="C20" s="13" t="s">
        <v>8</v>
      </c>
      <c r="D20" s="23">
        <f>4889.73+1258</f>
        <v>6147.73</v>
      </c>
      <c r="E20" s="23">
        <f t="shared" si="1"/>
        <v>4610.7974999999997</v>
      </c>
      <c r="F20" s="23">
        <f t="shared" si="3"/>
        <v>1536.9324999999999</v>
      </c>
      <c r="G20" s="23">
        <f>1222.4+314.5</f>
        <v>1536.9</v>
      </c>
      <c r="H20" s="12">
        <f t="shared" si="2"/>
        <v>796.46000000000049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ht="15.75" customHeight="1" x14ac:dyDescent="0.25">
      <c r="A21" s="2"/>
      <c r="B21" s="22">
        <f>B20+(MOD(B20,7)=6)*2+1</f>
        <v>46128</v>
      </c>
      <c r="C21" s="13" t="s">
        <v>8</v>
      </c>
      <c r="D21" s="23">
        <f>5734.25+3117.5</f>
        <v>8851.75</v>
      </c>
      <c r="E21" s="23">
        <f t="shared" si="1"/>
        <v>6638.8125</v>
      </c>
      <c r="F21" s="23">
        <f t="shared" si="3"/>
        <v>2212.9375</v>
      </c>
      <c r="G21" s="23">
        <f>1433.55+779.37</f>
        <v>2212.92</v>
      </c>
      <c r="H21" s="12">
        <f t="shared" si="2"/>
        <v>796.47750000000042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x14ac:dyDescent="0.25">
      <c r="A22" s="2"/>
      <c r="B22" s="22">
        <f t="shared" si="0"/>
        <v>46129</v>
      </c>
      <c r="C22" s="13" t="s">
        <v>8</v>
      </c>
      <c r="D22" s="23">
        <f>2375.37+3036.8</f>
        <v>5412.17</v>
      </c>
      <c r="E22" s="23">
        <f t="shared" si="1"/>
        <v>4059.1275000000001</v>
      </c>
      <c r="F22" s="23">
        <f t="shared" si="3"/>
        <v>1353.0425</v>
      </c>
      <c r="G22" s="23">
        <f>593.84+759.2</f>
        <v>1353.04</v>
      </c>
      <c r="H22" s="12">
        <f t="shared" si="2"/>
        <v>796.48000000000047</v>
      </c>
      <c r="I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x14ac:dyDescent="0.25">
      <c r="A23" s="2"/>
      <c r="B23" s="22">
        <f t="shared" si="0"/>
        <v>46132</v>
      </c>
      <c r="C23" s="13" t="s">
        <v>8</v>
      </c>
      <c r="D23" s="23">
        <f>2313+1550</f>
        <v>3863</v>
      </c>
      <c r="E23" s="23">
        <f t="shared" si="1"/>
        <v>2897.25</v>
      </c>
      <c r="F23" s="23">
        <f t="shared" si="3"/>
        <v>965.75</v>
      </c>
      <c r="G23" s="23">
        <f>578.25+387.5</f>
        <v>965.75</v>
      </c>
      <c r="H23" s="12">
        <f t="shared" si="2"/>
        <v>796.48000000000047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ht="15.75" customHeight="1" x14ac:dyDescent="0.25">
      <c r="A24" s="2"/>
      <c r="B24" s="22">
        <f t="shared" si="0"/>
        <v>46133</v>
      </c>
      <c r="C24" s="13" t="s">
        <v>8</v>
      </c>
      <c r="D24" s="23">
        <v>0</v>
      </c>
      <c r="E24" s="23">
        <f t="shared" si="1"/>
        <v>0</v>
      </c>
      <c r="F24" s="23">
        <f t="shared" si="3"/>
        <v>0</v>
      </c>
      <c r="G24" s="23">
        <v>0</v>
      </c>
      <c r="H24" s="12">
        <f t="shared" si="2"/>
        <v>796.48000000000047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ht="15.75" customHeight="1" x14ac:dyDescent="0.25">
      <c r="A25" s="2"/>
      <c r="B25" s="22">
        <f t="shared" si="0"/>
        <v>46134</v>
      </c>
      <c r="C25" s="13" t="s">
        <v>8</v>
      </c>
      <c r="D25" s="23">
        <f>3319.62+2004.66</f>
        <v>5324.28</v>
      </c>
      <c r="E25" s="23">
        <f t="shared" si="1"/>
        <v>3993.21</v>
      </c>
      <c r="F25" s="23">
        <f t="shared" si="3"/>
        <v>1331.07</v>
      </c>
      <c r="G25" s="23">
        <f>829.9+501.16</f>
        <v>1331.06</v>
      </c>
      <c r="H25" s="12">
        <f t="shared" si="2"/>
        <v>796.49000000000024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x14ac:dyDescent="0.25">
      <c r="A26" s="2"/>
      <c r="B26" s="22">
        <f t="shared" si="0"/>
        <v>46135</v>
      </c>
      <c r="C26" s="13" t="s">
        <v>8</v>
      </c>
      <c r="D26" s="23">
        <f>2268.53+3884.8</f>
        <v>6153.33</v>
      </c>
      <c r="E26" s="23">
        <f t="shared" si="1"/>
        <v>4614.9974999999995</v>
      </c>
      <c r="F26" s="23">
        <f t="shared" si="3"/>
        <v>1538.3325</v>
      </c>
      <c r="G26" s="23">
        <f>567.13+971.2</f>
        <v>1538.33</v>
      </c>
      <c r="H26" s="12">
        <f t="shared" si="2"/>
        <v>796.49250000000029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x14ac:dyDescent="0.25">
      <c r="A27" s="2"/>
      <c r="B27" s="22">
        <f t="shared" si="0"/>
        <v>46136</v>
      </c>
      <c r="C27" s="13" t="s">
        <v>8</v>
      </c>
      <c r="D27" s="23">
        <f>4429.91+1884.62</f>
        <v>6314.53</v>
      </c>
      <c r="E27" s="23">
        <f>D27-F27</f>
        <v>4735.8975</v>
      </c>
      <c r="F27" s="23">
        <f t="shared" si="3"/>
        <v>1578.6324999999999</v>
      </c>
      <c r="G27" s="23">
        <f>1107.46+471.15</f>
        <v>1578.6100000000001</v>
      </c>
      <c r="H27" s="12">
        <f t="shared" si="2"/>
        <v>796.51499999999987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ht="15.75" customHeight="1" x14ac:dyDescent="0.25">
      <c r="A28" s="2"/>
      <c r="B28" s="22">
        <f>B27+(MOD(B27,7)=6)*2+1</f>
        <v>46139</v>
      </c>
      <c r="C28" s="13" t="s">
        <v>8</v>
      </c>
      <c r="D28" s="23">
        <f>3318.92+1763.6</f>
        <v>5082.5200000000004</v>
      </c>
      <c r="E28" s="23">
        <f t="shared" si="1"/>
        <v>3811.8900000000003</v>
      </c>
      <c r="F28" s="23">
        <f t="shared" si="3"/>
        <v>1270.6300000000001</v>
      </c>
      <c r="G28" s="23">
        <f>829.72+440.9</f>
        <v>1270.6199999999999</v>
      </c>
      <c r="H28" s="12">
        <f>H27+F28-G28</f>
        <v>796.52500000000009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XFD28">
        <f>SUM(A28:XFC28)</f>
        <v>58371.185000000005</v>
      </c>
    </row>
    <row r="29" spans="1:26 16384:16384" x14ac:dyDescent="0.25">
      <c r="A29" s="32"/>
      <c r="B29" s="22">
        <f t="shared" si="0"/>
        <v>46140</v>
      </c>
      <c r="C29" s="13" t="s">
        <v>8</v>
      </c>
      <c r="D29" s="38">
        <f>7340.69+2505.92</f>
        <v>9846.61</v>
      </c>
      <c r="E29" s="23">
        <f t="shared" si="1"/>
        <v>7384.9575000000004</v>
      </c>
      <c r="F29" s="23">
        <f t="shared" si="3"/>
        <v>2461.6525000000001</v>
      </c>
      <c r="G29" s="23">
        <f>1835.17+626.48</f>
        <v>2461.65</v>
      </c>
      <c r="H29" s="12">
        <f t="shared" si="2"/>
        <v>796.52750000000015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 16384:16384" x14ac:dyDescent="0.25">
      <c r="A30" s="32"/>
      <c r="B30" s="22">
        <f t="shared" si="0"/>
        <v>46141</v>
      </c>
      <c r="C30" s="13" t="s">
        <v>8</v>
      </c>
      <c r="D30" s="38">
        <f>3246.4+2531.6</f>
        <v>5778</v>
      </c>
      <c r="E30" s="23">
        <f t="shared" si="1"/>
        <v>4333.5</v>
      </c>
      <c r="F30" s="23">
        <f t="shared" si="3"/>
        <v>1444.5</v>
      </c>
      <c r="G30" s="38">
        <f>811.59+632.9</f>
        <v>1444.49</v>
      </c>
      <c r="H30" s="12">
        <f t="shared" si="2"/>
        <v>796.53750000000014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 16384:16384" x14ac:dyDescent="0.25">
      <c r="A31" s="32"/>
      <c r="B31" s="22">
        <f t="shared" si="0"/>
        <v>46142</v>
      </c>
      <c r="C31" s="13" t="s">
        <v>8</v>
      </c>
      <c r="D31" s="38">
        <f>11952.46+8696.72+132.8</f>
        <v>20781.98</v>
      </c>
      <c r="E31" s="23">
        <f t="shared" si="1"/>
        <v>15586.485000000001</v>
      </c>
      <c r="F31" s="23">
        <f t="shared" si="3"/>
        <v>5195.4949999999999</v>
      </c>
      <c r="G31" s="38">
        <f>2988.09+2207.37</f>
        <v>5195.46</v>
      </c>
      <c r="H31" s="12">
        <f>H30+F31-G31</f>
        <v>796.57250000000022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 16384:16384" x14ac:dyDescent="0.25">
      <c r="A32" s="32" t="s">
        <v>37</v>
      </c>
      <c r="B32" s="48">
        <v>46121</v>
      </c>
      <c r="C32" s="49" t="s">
        <v>8</v>
      </c>
      <c r="D32" s="54">
        <v>1572.27</v>
      </c>
      <c r="E32" s="50">
        <f t="shared" si="1"/>
        <v>1179.2024999999999</v>
      </c>
      <c r="F32" s="50">
        <f>+D32*0.25</f>
        <v>393.0675</v>
      </c>
      <c r="G32" s="54">
        <v>0</v>
      </c>
      <c r="H32" s="12">
        <f>H31+F32-G32</f>
        <v>1189.6400000000003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x14ac:dyDescent="0.25">
      <c r="A33" s="52"/>
      <c r="B33" s="22"/>
      <c r="C33" s="13"/>
      <c r="D33" s="38"/>
      <c r="E33" s="23"/>
      <c r="F33" s="23"/>
      <c r="G33" s="38"/>
      <c r="H33" s="12">
        <f t="shared" si="2"/>
        <v>1189.6400000000003</v>
      </c>
      <c r="I33" s="31"/>
      <c r="J33" s="55" t="s">
        <v>177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 thickBot="1" x14ac:dyDescent="0.3">
      <c r="A34" s="2"/>
      <c r="B34" s="18" t="s">
        <v>9</v>
      </c>
      <c r="C34" s="19"/>
      <c r="D34" s="20">
        <f>SUM(D10:D32)</f>
        <v>178405.32</v>
      </c>
      <c r="E34" s="20">
        <f>SUM(E10:E32)</f>
        <v>133803.99000000005</v>
      </c>
      <c r="F34" s="20">
        <f>SUM(F10:F33)</f>
        <v>44601.33</v>
      </c>
      <c r="G34" s="20">
        <f>SUM(G10:G33)</f>
        <v>44207.950000000004</v>
      </c>
      <c r="H34" s="12">
        <f>H33</f>
        <v>1189.6400000000003</v>
      </c>
      <c r="I34" s="16"/>
      <c r="J34" s="56">
        <f>H34-H9</f>
        <v>393.38000000000034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9"/>
      <c r="B35" s="64" t="s">
        <v>10</v>
      </c>
      <c r="C35" s="65"/>
      <c r="D35" s="65"/>
      <c r="E35" s="65"/>
      <c r="F35" s="65"/>
      <c r="G35" s="65"/>
      <c r="H35" s="66"/>
      <c r="I35" s="30"/>
      <c r="J35" s="2"/>
      <c r="K35" s="1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9"/>
      <c r="B36" s="67" t="s">
        <v>179</v>
      </c>
      <c r="C36" s="68"/>
      <c r="D36" s="68"/>
      <c r="E36" s="68"/>
      <c r="F36" s="68"/>
      <c r="G36" s="68"/>
      <c r="H36" s="69"/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1"/>
      <c r="B37" s="67"/>
      <c r="C37" s="68"/>
      <c r="D37" s="68"/>
      <c r="E37" s="68"/>
      <c r="F37" s="68"/>
      <c r="G37" s="68"/>
      <c r="H37" s="69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33.75" customHeight="1" x14ac:dyDescent="0.25">
      <c r="A38" s="31"/>
      <c r="B38" s="70" t="s">
        <v>175</v>
      </c>
      <c r="C38" s="71"/>
      <c r="D38" s="71"/>
      <c r="E38" s="71"/>
      <c r="F38" s="71"/>
      <c r="G38" s="71"/>
      <c r="H38" s="72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 thickBot="1" x14ac:dyDescent="0.3">
      <c r="A39" s="2"/>
      <c r="B39" s="45"/>
      <c r="C39" s="46"/>
      <c r="D39" s="46"/>
      <c r="E39" s="46"/>
      <c r="F39" s="46"/>
      <c r="G39" s="46"/>
      <c r="H39" s="4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6">
    <mergeCell ref="B38:H38"/>
    <mergeCell ref="B7:H7"/>
    <mergeCell ref="B9:G9"/>
    <mergeCell ref="B35:H35"/>
    <mergeCell ref="B36:H36"/>
    <mergeCell ref="B37:H37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E0D9F-BA78-4756-8558-4D42917E8B03}">
  <dimension ref="A1:XFD1000"/>
  <sheetViews>
    <sheetView topLeftCell="A13" zoomScale="110" zoomScaleNormal="110" workbookViewId="0">
      <selection activeCell="D17" sqref="D17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182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181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180</v>
      </c>
      <c r="C9" s="63"/>
      <c r="D9" s="63"/>
      <c r="E9" s="63"/>
      <c r="F9" s="63"/>
      <c r="G9" s="63"/>
      <c r="H9" s="12">
        <v>1189.6400000000001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46146</v>
      </c>
      <c r="C10" s="13" t="s">
        <v>8</v>
      </c>
      <c r="D10" s="23">
        <f>35724.5+4103.33</f>
        <v>39827.83</v>
      </c>
      <c r="E10" s="23">
        <f>D10-F10</f>
        <v>29870.872500000001</v>
      </c>
      <c r="F10" s="23">
        <f>+D10*0.25</f>
        <v>9956.9575000000004</v>
      </c>
      <c r="G10" s="23">
        <f>8931.03+1025.83</f>
        <v>9956.86</v>
      </c>
      <c r="H10" s="12">
        <f>H9+F10-G10</f>
        <v>1189.7374999999993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31" t="s">
        <v>13</v>
      </c>
      <c r="B11" s="48">
        <v>46146</v>
      </c>
      <c r="C11" s="49" t="s">
        <v>11</v>
      </c>
      <c r="D11" s="50">
        <v>0</v>
      </c>
      <c r="E11" s="50">
        <v>0</v>
      </c>
      <c r="F11" s="50">
        <v>0</v>
      </c>
      <c r="G11" s="50">
        <v>796.26</v>
      </c>
      <c r="H11" s="12">
        <f>H10+F11-G11</f>
        <v>393.47749999999928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x14ac:dyDescent="0.25">
      <c r="A12" s="2"/>
      <c r="B12" s="22">
        <f>B10+(MOD(B10,7)=6)*2+1</f>
        <v>46147</v>
      </c>
      <c r="C12" s="13" t="s">
        <v>8</v>
      </c>
      <c r="D12" s="23">
        <f>9529.17+3309.71</f>
        <v>12838.880000000001</v>
      </c>
      <c r="E12" s="23">
        <f t="shared" ref="E12:E31" si="0">D12-F12</f>
        <v>9629.16</v>
      </c>
      <c r="F12" s="23">
        <f>+D12*0.25</f>
        <v>3209.7200000000003</v>
      </c>
      <c r="G12" s="23">
        <f>2382.29+827.42</f>
        <v>3209.71</v>
      </c>
      <c r="H12" s="12">
        <f t="shared" ref="H12:H31" si="1">H11+F12-G12</f>
        <v>393.48749999999927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ref="B13:B31" si="2">B12+(MOD(B12,7)=6)*2+1</f>
        <v>46148</v>
      </c>
      <c r="C13" s="13" t="s">
        <v>8</v>
      </c>
      <c r="D13" s="23">
        <f>3724.21+3417.47</f>
        <v>7141.68</v>
      </c>
      <c r="E13" s="23">
        <f t="shared" si="0"/>
        <v>5356.26</v>
      </c>
      <c r="F13" s="23">
        <f t="shared" ref="F13:F31" si="3">+D13*0.25</f>
        <v>1785.42</v>
      </c>
      <c r="G13" s="23">
        <f>931.05+854.36</f>
        <v>1785.4099999999999</v>
      </c>
      <c r="H13" s="12">
        <f t="shared" si="1"/>
        <v>393.49749999999949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>B13+(MOD(B13,7)=6)*2+1</f>
        <v>46149</v>
      </c>
      <c r="C14" s="13" t="s">
        <v>8</v>
      </c>
      <c r="D14" s="23">
        <f>5068.76+3623.63</f>
        <v>8692.39</v>
      </c>
      <c r="E14" s="23">
        <f>D14-F14</f>
        <v>6519.2924999999996</v>
      </c>
      <c r="F14" s="23">
        <f>+D14*0.25</f>
        <v>2173.0974999999999</v>
      </c>
      <c r="G14" s="23">
        <f>1267.17+905.9</f>
        <v>2173.0700000000002</v>
      </c>
      <c r="H14" s="12">
        <f t="shared" si="1"/>
        <v>393.52499999999918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2"/>
        <v>46150</v>
      </c>
      <c r="C15" s="13" t="s">
        <v>8</v>
      </c>
      <c r="D15" s="23">
        <f>11338.87+6943.6</f>
        <v>18282.47</v>
      </c>
      <c r="E15" s="23">
        <f t="shared" si="0"/>
        <v>13711.852500000001</v>
      </c>
      <c r="F15" s="23">
        <f t="shared" si="3"/>
        <v>4570.6175000000003</v>
      </c>
      <c r="G15" s="23">
        <f>2834.7+1735.9</f>
        <v>4570.6000000000004</v>
      </c>
      <c r="H15" s="12">
        <f t="shared" si="1"/>
        <v>393.54249999999956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2"/>
        <v>46153</v>
      </c>
      <c r="C16" s="13" t="s">
        <v>8</v>
      </c>
      <c r="D16" s="23">
        <f>5874.2+7127.19</f>
        <v>13001.39</v>
      </c>
      <c r="E16" s="23">
        <f t="shared" si="0"/>
        <v>9751.0424999999996</v>
      </c>
      <c r="F16" s="23">
        <f t="shared" si="3"/>
        <v>3250.3474999999999</v>
      </c>
      <c r="G16" s="23">
        <f>1468.54+1781.79</f>
        <v>3250.33</v>
      </c>
      <c r="H16" s="12">
        <f t="shared" si="1"/>
        <v>393.55999999999949</v>
      </c>
      <c r="I16" s="2"/>
      <c r="J16" s="2"/>
      <c r="K16" s="2"/>
      <c r="L16" s="2" t="s">
        <v>178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 16384:16384" x14ac:dyDescent="0.25">
      <c r="A17" s="31" t="s">
        <v>37</v>
      </c>
      <c r="B17" s="48">
        <v>46153</v>
      </c>
      <c r="C17" s="49" t="s">
        <v>8</v>
      </c>
      <c r="D17" s="50">
        <v>4822.0410000000002</v>
      </c>
      <c r="E17" s="50">
        <f t="shared" si="0"/>
        <v>3616.5307499999999</v>
      </c>
      <c r="F17" s="50">
        <f>+D17*0.25</f>
        <v>1205.51025</v>
      </c>
      <c r="G17" s="50">
        <v>0</v>
      </c>
      <c r="H17" s="12">
        <f>H16+F17-G17</f>
        <v>1599.0702499999995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 16384:16384" x14ac:dyDescent="0.25">
      <c r="A18" s="2"/>
      <c r="B18" s="22">
        <f>B16+(MOD(B16,7)=6)*2+1</f>
        <v>46154</v>
      </c>
      <c r="C18" s="13" t="s">
        <v>8</v>
      </c>
      <c r="D18" s="23">
        <f>10915.32+3417.18+132.8</f>
        <v>14465.3</v>
      </c>
      <c r="E18" s="23">
        <f t="shared" si="0"/>
        <v>10848.974999999999</v>
      </c>
      <c r="F18" s="23">
        <f t="shared" si="3"/>
        <v>3616.3249999999998</v>
      </c>
      <c r="G18" s="23">
        <f>2728.81+887.49</f>
        <v>3616.3</v>
      </c>
      <c r="H18" s="12">
        <f t="shared" si="1"/>
        <v>1599.0952499999994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>B18+(MOD(B18,7)=6)*2+1</f>
        <v>46155</v>
      </c>
      <c r="C19" s="13" t="s">
        <v>8</v>
      </c>
      <c r="D19" s="23">
        <f>6025.6+3252</f>
        <v>9277.6</v>
      </c>
      <c r="E19" s="23">
        <f t="shared" si="0"/>
        <v>6958.2000000000007</v>
      </c>
      <c r="F19" s="23">
        <f t="shared" si="3"/>
        <v>2319.4</v>
      </c>
      <c r="G19" s="23">
        <f>1506.4+813</f>
        <v>2319.4</v>
      </c>
      <c r="H19" s="12">
        <f t="shared" si="1"/>
        <v>1599.0952499999994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2"/>
        <v>46156</v>
      </c>
      <c r="C20" s="13" t="s">
        <v>8</v>
      </c>
      <c r="D20" s="23">
        <f>8026+3530.21</f>
        <v>11556.21</v>
      </c>
      <c r="E20" s="23">
        <f t="shared" si="0"/>
        <v>8667.1574999999993</v>
      </c>
      <c r="F20" s="23">
        <f t="shared" si="3"/>
        <v>2889.0524999999998</v>
      </c>
      <c r="G20" s="23">
        <f>2006.5+882.55</f>
        <v>2889.05</v>
      </c>
      <c r="H20" s="12">
        <f t="shared" si="1"/>
        <v>1599.097749999999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x14ac:dyDescent="0.25">
      <c r="A21" s="2"/>
      <c r="B21" s="22">
        <f t="shared" si="2"/>
        <v>46157</v>
      </c>
      <c r="C21" s="13" t="s">
        <v>8</v>
      </c>
      <c r="D21" s="23">
        <f>9778.03+2234.7</f>
        <v>12012.73</v>
      </c>
      <c r="E21" s="23">
        <f t="shared" si="0"/>
        <v>9009.5475000000006</v>
      </c>
      <c r="F21" s="23">
        <f t="shared" si="3"/>
        <v>3003.1824999999999</v>
      </c>
      <c r="G21" s="23">
        <f>2444.5+558.67</f>
        <v>3003.17</v>
      </c>
      <c r="H21" s="12">
        <f t="shared" si="1"/>
        <v>1599.1102499999988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x14ac:dyDescent="0.25">
      <c r="A22" s="2"/>
      <c r="B22" s="22">
        <f t="shared" si="2"/>
        <v>46160</v>
      </c>
      <c r="C22" s="13" t="s">
        <v>8</v>
      </c>
      <c r="D22" s="23">
        <f>7608.36+6440.68</f>
        <v>14049.04</v>
      </c>
      <c r="E22" s="23">
        <f t="shared" si="0"/>
        <v>10536.78</v>
      </c>
      <c r="F22" s="23">
        <f t="shared" si="3"/>
        <v>3512.26</v>
      </c>
      <c r="G22" s="23">
        <f>1902.08+1610.16</f>
        <v>3512.24</v>
      </c>
      <c r="H22" s="12">
        <f t="shared" si="1"/>
        <v>1599.1302499999993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ht="15.75" customHeight="1" x14ac:dyDescent="0.25">
      <c r="A23" s="2"/>
      <c r="B23" s="22">
        <f>B22+(MOD(B22,7)=6)*2+1</f>
        <v>46161</v>
      </c>
      <c r="C23" s="13" t="s">
        <v>8</v>
      </c>
      <c r="D23" s="23">
        <f>17200.64+6549.6+664</f>
        <v>24414.239999999998</v>
      </c>
      <c r="E23" s="23">
        <f t="shared" si="0"/>
        <v>18310.68</v>
      </c>
      <c r="F23" s="23">
        <f t="shared" si="3"/>
        <v>6103.5599999999995</v>
      </c>
      <c r="G23" s="23">
        <f>4300.15+1803.4</f>
        <v>6103.5499999999993</v>
      </c>
      <c r="H23" s="12">
        <f t="shared" si="1"/>
        <v>1599.1402499999995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x14ac:dyDescent="0.25">
      <c r="A24" s="2"/>
      <c r="B24" s="22">
        <f t="shared" si="2"/>
        <v>46162</v>
      </c>
      <c r="C24" s="13" t="s">
        <v>8</v>
      </c>
      <c r="D24" s="23">
        <f>9213.57+6135.6</f>
        <v>15349.17</v>
      </c>
      <c r="E24" s="23">
        <f t="shared" si="0"/>
        <v>11511.877500000001</v>
      </c>
      <c r="F24" s="23">
        <f t="shared" si="3"/>
        <v>3837.2925</v>
      </c>
      <c r="G24" s="23">
        <f>2303.39+1533.9</f>
        <v>3837.29</v>
      </c>
      <c r="H24" s="12">
        <f t="shared" si="1"/>
        <v>1599.14275</v>
      </c>
      <c r="I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x14ac:dyDescent="0.25">
      <c r="A25" s="2"/>
      <c r="B25" s="22">
        <f t="shared" si="2"/>
        <v>46163</v>
      </c>
      <c r="C25" s="13" t="s">
        <v>8</v>
      </c>
      <c r="D25" s="23">
        <f>14539.78+4391.2</f>
        <v>18930.98</v>
      </c>
      <c r="E25" s="23">
        <f t="shared" si="0"/>
        <v>14198.235000000001</v>
      </c>
      <c r="F25" s="23">
        <f t="shared" si="3"/>
        <v>4732.7449999999999</v>
      </c>
      <c r="G25" s="23">
        <f>3634.93+1097.8</f>
        <v>4732.7299999999996</v>
      </c>
      <c r="H25" s="12">
        <f t="shared" si="1"/>
        <v>1599.1577500000003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ht="15.75" customHeight="1" x14ac:dyDescent="0.25">
      <c r="A26" s="2"/>
      <c r="B26" s="22">
        <f t="shared" si="2"/>
        <v>46164</v>
      </c>
      <c r="C26" s="13" t="s">
        <v>8</v>
      </c>
      <c r="D26" s="23">
        <f>12917.6+3879.2</f>
        <v>16796.8</v>
      </c>
      <c r="E26" s="23">
        <f t="shared" si="0"/>
        <v>12597.599999999999</v>
      </c>
      <c r="F26" s="23">
        <f t="shared" si="3"/>
        <v>4199.2</v>
      </c>
      <c r="G26" s="23">
        <f>3229.4+969.8</f>
        <v>4199.2</v>
      </c>
      <c r="H26" s="12">
        <f t="shared" si="1"/>
        <v>1599.1577500000003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ht="15.75" customHeight="1" x14ac:dyDescent="0.25">
      <c r="A27" s="2"/>
      <c r="B27" s="22">
        <f t="shared" si="2"/>
        <v>46167</v>
      </c>
      <c r="C27" s="13" t="s">
        <v>8</v>
      </c>
      <c r="D27" s="23">
        <f>10032.8+13482.02</f>
        <v>23514.82</v>
      </c>
      <c r="E27" s="23">
        <f t="shared" si="0"/>
        <v>17636.114999999998</v>
      </c>
      <c r="F27" s="23">
        <f t="shared" si="3"/>
        <v>5878.7049999999999</v>
      </c>
      <c r="G27" s="23">
        <f>2508.2+3370.5</f>
        <v>5878.7</v>
      </c>
      <c r="H27" s="12">
        <f t="shared" si="1"/>
        <v>1599.1627500000004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x14ac:dyDescent="0.25">
      <c r="A28" s="2"/>
      <c r="B28" s="22">
        <f t="shared" si="2"/>
        <v>46168</v>
      </c>
      <c r="C28" s="13" t="s">
        <v>8</v>
      </c>
      <c r="D28" s="23">
        <f>22122.25+4716.8</f>
        <v>26839.05</v>
      </c>
      <c r="E28" s="23">
        <f t="shared" si="0"/>
        <v>20129.287499999999</v>
      </c>
      <c r="F28" s="23">
        <f t="shared" si="3"/>
        <v>6709.7624999999998</v>
      </c>
      <c r="G28" s="23">
        <f>5530.55+1179.2</f>
        <v>6709.75</v>
      </c>
      <c r="H28" s="12">
        <f t="shared" si="1"/>
        <v>1599.1752500000002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 16384:16384" x14ac:dyDescent="0.25">
      <c r="A29" s="2"/>
      <c r="B29" s="22">
        <f t="shared" si="2"/>
        <v>46169</v>
      </c>
      <c r="C29" s="13" t="s">
        <v>8</v>
      </c>
      <c r="D29" s="23">
        <f>19038.98+4755.28</f>
        <v>23794.26</v>
      </c>
      <c r="E29" s="23">
        <f>D29-F29</f>
        <v>17845.695</v>
      </c>
      <c r="F29" s="23">
        <f t="shared" si="3"/>
        <v>5948.5649999999996</v>
      </c>
      <c r="G29" s="23">
        <f>4759.74+1188.81</f>
        <v>5948.5499999999993</v>
      </c>
      <c r="H29" s="12">
        <f t="shared" si="1"/>
        <v>1599.1902500000006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 16384:16384" ht="15.75" customHeight="1" x14ac:dyDescent="0.25">
      <c r="A30" s="2"/>
      <c r="B30" s="22">
        <f>B29+(MOD(B29,7)=6)*2+1</f>
        <v>46170</v>
      </c>
      <c r="C30" s="13" t="s">
        <v>8</v>
      </c>
      <c r="D30" s="23">
        <f>37825.89+7232.6</f>
        <v>45058.49</v>
      </c>
      <c r="E30" s="23">
        <f t="shared" si="0"/>
        <v>33793.8675</v>
      </c>
      <c r="F30" s="23">
        <f t="shared" si="3"/>
        <v>11264.622499999999</v>
      </c>
      <c r="G30" s="23">
        <f>9456.46+1808.14</f>
        <v>11264.599999999999</v>
      </c>
      <c r="H30" s="12">
        <f t="shared" si="1"/>
        <v>1599.2127500000024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XFD30">
        <f>SUM(A30:XFC30)</f>
        <v>149150.79274999999</v>
      </c>
    </row>
    <row r="31" spans="1:26 16384:16384" x14ac:dyDescent="0.25">
      <c r="A31" s="32"/>
      <c r="B31" s="22">
        <f t="shared" si="2"/>
        <v>46171</v>
      </c>
      <c r="C31" s="13" t="s">
        <v>8</v>
      </c>
      <c r="D31" s="38">
        <f>35133.94+50630.33+796.8</f>
        <v>86561.07</v>
      </c>
      <c r="E31" s="23">
        <f t="shared" si="0"/>
        <v>64920.802500000005</v>
      </c>
      <c r="F31" s="23">
        <f t="shared" si="3"/>
        <v>21640.267500000002</v>
      </c>
      <c r="G31" s="23">
        <f>8783.47+12856.76</f>
        <v>21640.23</v>
      </c>
      <c r="H31" s="12">
        <f t="shared" si="1"/>
        <v>1599.2502500000046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 16384:16384" ht="15.75" customHeight="1" thickBot="1" x14ac:dyDescent="0.3">
      <c r="A32" s="2"/>
      <c r="B32" s="18" t="s">
        <v>9</v>
      </c>
      <c r="C32" s="19"/>
      <c r="D32" s="20">
        <f>SUM(D10:D31)</f>
        <v>447226.44099999999</v>
      </c>
      <c r="E32" s="20">
        <f>SUM(E10:E31)</f>
        <v>335419.83075000002</v>
      </c>
      <c r="F32" s="20">
        <f>SUM(F10:F31)</f>
        <v>111806.61025</v>
      </c>
      <c r="G32" s="20">
        <f>SUM(G10:G31)</f>
        <v>111396.99999999999</v>
      </c>
      <c r="H32" s="12">
        <f>H31</f>
        <v>1599.2502500000046</v>
      </c>
      <c r="I32" s="16"/>
      <c r="J32" s="56">
        <f>1599.25-393.38</f>
        <v>1205.8699999999999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9"/>
      <c r="B33" s="64" t="s">
        <v>10</v>
      </c>
      <c r="C33" s="65"/>
      <c r="D33" s="65"/>
      <c r="E33" s="65"/>
      <c r="F33" s="65"/>
      <c r="G33" s="65"/>
      <c r="H33" s="66"/>
      <c r="I33" s="30"/>
      <c r="J33" s="2"/>
      <c r="K33" s="1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9"/>
      <c r="B34" s="67" t="s">
        <v>183</v>
      </c>
      <c r="C34" s="68"/>
      <c r="D34" s="68"/>
      <c r="E34" s="68"/>
      <c r="F34" s="68"/>
      <c r="G34" s="68"/>
      <c r="H34" s="69"/>
      <c r="I34" s="3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31"/>
      <c r="B35" s="70" t="s">
        <v>184</v>
      </c>
      <c r="C35" s="71"/>
      <c r="D35" s="71"/>
      <c r="E35" s="71"/>
      <c r="F35" s="71"/>
      <c r="G35" s="71"/>
      <c r="H35" s="72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33.75" customHeight="1" x14ac:dyDescent="0.25">
      <c r="A36" s="31"/>
      <c r="B36" s="70" t="s">
        <v>185</v>
      </c>
      <c r="C36" s="71"/>
      <c r="D36" s="71"/>
      <c r="E36" s="71"/>
      <c r="F36" s="71"/>
      <c r="G36" s="71"/>
      <c r="H36" s="72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.75" customHeight="1" thickBot="1" x14ac:dyDescent="0.3">
      <c r="A37" s="2"/>
      <c r="B37" s="45"/>
      <c r="C37" s="46"/>
      <c r="D37" s="46"/>
      <c r="E37" s="46"/>
      <c r="F37" s="46"/>
      <c r="G37" s="46"/>
      <c r="H37" s="4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B36:H36"/>
    <mergeCell ref="B7:H7"/>
    <mergeCell ref="B9:G9"/>
    <mergeCell ref="B33:H33"/>
    <mergeCell ref="B34:H34"/>
    <mergeCell ref="B35:H35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7"/>
  <sheetViews>
    <sheetView topLeftCell="A7" zoomScaleNormal="10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24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25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26</v>
      </c>
      <c r="C9" s="63"/>
      <c r="D9" s="63"/>
      <c r="E9" s="63"/>
      <c r="F9" s="63"/>
      <c r="G9" s="63"/>
      <c r="H9" s="12">
        <v>970.17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45352</v>
      </c>
      <c r="C10" s="13" t="s">
        <v>8</v>
      </c>
      <c r="D10" s="23">
        <v>80869.320000000007</v>
      </c>
      <c r="E10" s="23">
        <f t="shared" ref="E10:E36" si="0">D10-F10</f>
        <v>60652.920000000006</v>
      </c>
      <c r="F10" s="23">
        <v>20216.400000000001</v>
      </c>
      <c r="G10" s="23">
        <f t="shared" ref="G10:G36" si="1">F10</f>
        <v>20216.400000000001</v>
      </c>
      <c r="H10" s="12">
        <f t="shared" ref="H10:H35" si="2">H9+F10-G10</f>
        <v>970.16999999999825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6" si="3">B10+(MOD(B10,7)=6)*2+1</f>
        <v>45355</v>
      </c>
      <c r="C11" s="13" t="s">
        <v>8</v>
      </c>
      <c r="D11" s="23">
        <v>8256.35</v>
      </c>
      <c r="E11" s="23">
        <f t="shared" si="0"/>
        <v>6192.35</v>
      </c>
      <c r="F11" s="24">
        <v>2064</v>
      </c>
      <c r="G11" s="23">
        <f t="shared" si="1"/>
        <v>2064</v>
      </c>
      <c r="H11" s="12">
        <f t="shared" si="2"/>
        <v>970.16999999999825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3"/>
        <v>45356</v>
      </c>
      <c r="C12" s="13" t="s">
        <v>8</v>
      </c>
      <c r="D12" s="23">
        <v>4254.33</v>
      </c>
      <c r="E12" s="23">
        <f t="shared" si="0"/>
        <v>3190.84</v>
      </c>
      <c r="F12" s="24">
        <v>1063.49</v>
      </c>
      <c r="G12" s="23">
        <f t="shared" si="1"/>
        <v>1063.49</v>
      </c>
      <c r="H12" s="12">
        <f t="shared" si="2"/>
        <v>970.16999999999825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3"/>
        <v>45357</v>
      </c>
      <c r="C13" s="13" t="s">
        <v>8</v>
      </c>
      <c r="D13" s="23">
        <v>4695.83</v>
      </c>
      <c r="E13" s="23">
        <f t="shared" si="0"/>
        <v>3521.9700000000003</v>
      </c>
      <c r="F13" s="24">
        <v>1173.8599999999999</v>
      </c>
      <c r="G13" s="23">
        <f t="shared" si="1"/>
        <v>1173.8599999999999</v>
      </c>
      <c r="H13" s="12">
        <f t="shared" si="2"/>
        <v>970.16999999999803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3"/>
        <v>45358</v>
      </c>
      <c r="C14" s="13" t="s">
        <v>8</v>
      </c>
      <c r="D14" s="23">
        <v>10994.44</v>
      </c>
      <c r="E14" s="23">
        <f t="shared" si="0"/>
        <v>8245.9700000000012</v>
      </c>
      <c r="F14" s="24">
        <v>2748.47</v>
      </c>
      <c r="G14" s="23">
        <f t="shared" si="1"/>
        <v>2748.47</v>
      </c>
      <c r="H14" s="12">
        <f t="shared" si="2"/>
        <v>970.1699999999978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3"/>
        <v>45359</v>
      </c>
      <c r="C15" s="13" t="s">
        <v>8</v>
      </c>
      <c r="D15" s="23">
        <v>4382.54</v>
      </c>
      <c r="E15" s="23">
        <f t="shared" si="0"/>
        <v>3287.01</v>
      </c>
      <c r="F15" s="25">
        <v>1095.53</v>
      </c>
      <c r="G15" s="23">
        <f t="shared" si="1"/>
        <v>1095.53</v>
      </c>
      <c r="H15" s="12">
        <f t="shared" si="2"/>
        <v>970.16999999999803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3"/>
        <v>45362</v>
      </c>
      <c r="C16" s="13" t="s">
        <v>8</v>
      </c>
      <c r="D16" s="23">
        <v>3421.06</v>
      </c>
      <c r="E16" s="23">
        <f t="shared" si="0"/>
        <v>2565.85</v>
      </c>
      <c r="F16" s="25">
        <v>855.21</v>
      </c>
      <c r="G16" s="23">
        <f t="shared" si="1"/>
        <v>855.21</v>
      </c>
      <c r="H16" s="12">
        <f t="shared" si="2"/>
        <v>970.16999999999803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3"/>
        <v>45363</v>
      </c>
      <c r="C17" s="13" t="s">
        <v>8</v>
      </c>
      <c r="D17" s="23">
        <v>8835.42</v>
      </c>
      <c r="E17" s="23">
        <f t="shared" si="0"/>
        <v>6626.67</v>
      </c>
      <c r="F17" s="25">
        <v>2208.75</v>
      </c>
      <c r="G17" s="23">
        <f t="shared" si="1"/>
        <v>2208.75</v>
      </c>
      <c r="H17" s="12">
        <f t="shared" si="2"/>
        <v>970.16999999999825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3"/>
        <v>45364</v>
      </c>
      <c r="C18" s="13" t="s">
        <v>8</v>
      </c>
      <c r="D18" s="23">
        <v>6083.66</v>
      </c>
      <c r="E18" s="23">
        <f t="shared" si="0"/>
        <v>4562.78</v>
      </c>
      <c r="F18" s="25">
        <v>1520.88</v>
      </c>
      <c r="G18" s="23">
        <f t="shared" si="1"/>
        <v>1520.88</v>
      </c>
      <c r="H18" s="12">
        <f t="shared" si="2"/>
        <v>970.16999999999825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3"/>
        <v>45365</v>
      </c>
      <c r="C19" s="13" t="s">
        <v>8</v>
      </c>
      <c r="D19" s="23">
        <v>9087.64</v>
      </c>
      <c r="E19" s="23">
        <f t="shared" si="0"/>
        <v>6815.7699999999995</v>
      </c>
      <c r="F19" s="25">
        <v>2271.87</v>
      </c>
      <c r="G19" s="23">
        <f t="shared" si="1"/>
        <v>2271.87</v>
      </c>
      <c r="H19" s="12">
        <f t="shared" si="2"/>
        <v>970.16999999999825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3"/>
        <v>45366</v>
      </c>
      <c r="C20" s="13" t="s">
        <v>8</v>
      </c>
      <c r="D20" s="23">
        <v>3540.17</v>
      </c>
      <c r="E20" s="23">
        <f t="shared" si="0"/>
        <v>2655.15</v>
      </c>
      <c r="F20" s="25">
        <v>885.02</v>
      </c>
      <c r="G20" s="23">
        <f t="shared" si="1"/>
        <v>885.02</v>
      </c>
      <c r="H20" s="12">
        <f t="shared" si="2"/>
        <v>970.16999999999825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3"/>
        <v>45369</v>
      </c>
      <c r="C21" s="13" t="s">
        <v>8</v>
      </c>
      <c r="D21" s="23">
        <v>2604.8200000000002</v>
      </c>
      <c r="E21" s="23">
        <f t="shared" si="0"/>
        <v>1953.67</v>
      </c>
      <c r="F21" s="25">
        <v>651.15</v>
      </c>
      <c r="G21" s="23">
        <f t="shared" si="1"/>
        <v>651.15</v>
      </c>
      <c r="H21" s="12">
        <f t="shared" si="2"/>
        <v>970.16999999999837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3"/>
        <v>45370</v>
      </c>
      <c r="C22" s="13" t="s">
        <v>8</v>
      </c>
      <c r="D22" s="23">
        <v>6218.49</v>
      </c>
      <c r="E22" s="23">
        <f t="shared" si="0"/>
        <v>4663.9399999999996</v>
      </c>
      <c r="F22" s="25">
        <v>1554.55</v>
      </c>
      <c r="G22" s="23">
        <f t="shared" si="1"/>
        <v>1554.55</v>
      </c>
      <c r="H22" s="12">
        <f t="shared" si="2"/>
        <v>970.16999999999848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3"/>
        <v>45371</v>
      </c>
      <c r="C23" s="13" t="s">
        <v>8</v>
      </c>
      <c r="D23" s="23">
        <v>6257.83</v>
      </c>
      <c r="E23" s="23">
        <f t="shared" si="0"/>
        <v>4693.43</v>
      </c>
      <c r="F23" s="25">
        <v>1564.4</v>
      </c>
      <c r="G23" s="23">
        <f t="shared" si="1"/>
        <v>1564.4</v>
      </c>
      <c r="H23" s="12">
        <f t="shared" si="2"/>
        <v>970.16999999999871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3"/>
        <v>45372</v>
      </c>
      <c r="C24" s="13" t="s">
        <v>8</v>
      </c>
      <c r="D24" s="23">
        <v>2479.66</v>
      </c>
      <c r="E24" s="23">
        <f t="shared" si="0"/>
        <v>1859.7999999999997</v>
      </c>
      <c r="F24" s="25">
        <v>619.86</v>
      </c>
      <c r="G24" s="23">
        <f t="shared" si="1"/>
        <v>619.86</v>
      </c>
      <c r="H24" s="12">
        <f t="shared" si="2"/>
        <v>970.16999999999882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3"/>
        <v>45373</v>
      </c>
      <c r="C25" s="13" t="s">
        <v>8</v>
      </c>
      <c r="D25" s="23">
        <v>4218.2299999999996</v>
      </c>
      <c r="E25" s="23">
        <f t="shared" si="0"/>
        <v>3163.7099999999996</v>
      </c>
      <c r="F25" s="25">
        <v>1054.52</v>
      </c>
      <c r="G25" s="23">
        <f t="shared" si="1"/>
        <v>1054.52</v>
      </c>
      <c r="H25" s="12">
        <f t="shared" si="2"/>
        <v>970.16999999999871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3"/>
        <v>45376</v>
      </c>
      <c r="C26" s="13" t="s">
        <v>8</v>
      </c>
      <c r="D26" s="23">
        <v>5160.13</v>
      </c>
      <c r="E26" s="23">
        <f t="shared" si="0"/>
        <v>3870.15</v>
      </c>
      <c r="F26" s="25">
        <v>1289.98</v>
      </c>
      <c r="G26" s="23">
        <f t="shared" si="1"/>
        <v>1289.98</v>
      </c>
      <c r="H26" s="12">
        <f t="shared" si="2"/>
        <v>970.16999999999871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3"/>
        <v>45377</v>
      </c>
      <c r="C27" s="13" t="s">
        <v>8</v>
      </c>
      <c r="D27" s="23">
        <v>7814.29</v>
      </c>
      <c r="E27" s="23">
        <f t="shared" si="0"/>
        <v>5860.8</v>
      </c>
      <c r="F27" s="25">
        <v>1953.49</v>
      </c>
      <c r="G27" s="23">
        <f t="shared" si="1"/>
        <v>1953.49</v>
      </c>
      <c r="H27" s="12">
        <f t="shared" si="2"/>
        <v>970.16999999999894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3"/>
        <v>45378</v>
      </c>
      <c r="C28" s="13" t="s">
        <v>8</v>
      </c>
      <c r="D28" s="23">
        <v>6591.04</v>
      </c>
      <c r="E28" s="23">
        <f t="shared" si="0"/>
        <v>4943.37</v>
      </c>
      <c r="F28" s="25">
        <v>1647.67</v>
      </c>
      <c r="G28" s="23">
        <f t="shared" si="1"/>
        <v>1647.67</v>
      </c>
      <c r="H28" s="12">
        <f t="shared" si="2"/>
        <v>970.16999999999916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3"/>
        <v>45379</v>
      </c>
      <c r="C29" s="13" t="s">
        <v>8</v>
      </c>
      <c r="D29" s="23">
        <v>11291.52</v>
      </c>
      <c r="E29" s="23">
        <f t="shared" si="0"/>
        <v>8468.75</v>
      </c>
      <c r="F29" s="25">
        <v>2822.77</v>
      </c>
      <c r="G29" s="23">
        <f>F29</f>
        <v>2822.77</v>
      </c>
      <c r="H29" s="12">
        <f>H28+F29-G29</f>
        <v>970.16999999999916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6" t="s">
        <v>12</v>
      </c>
      <c r="B30" s="22">
        <v>45352</v>
      </c>
      <c r="C30" s="13" t="s">
        <v>11</v>
      </c>
      <c r="D30" s="28">
        <v>10365.049999999999</v>
      </c>
      <c r="E30" s="28">
        <f>D30-F30</f>
        <v>7773.7899999999991</v>
      </c>
      <c r="F30" s="25">
        <v>2591.2600000000002</v>
      </c>
      <c r="G30" s="23">
        <v>0</v>
      </c>
      <c r="H30" s="12">
        <f>H29+F30-G30</f>
        <v>3561.4299999999994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hidden="1" customHeight="1" x14ac:dyDescent="0.25">
      <c r="A31" s="2"/>
      <c r="B31" s="22">
        <f t="shared" si="3"/>
        <v>45355</v>
      </c>
      <c r="C31" s="27" t="s">
        <v>11</v>
      </c>
      <c r="D31" s="23"/>
      <c r="E31" s="23">
        <f t="shared" si="0"/>
        <v>0</v>
      </c>
      <c r="F31" s="25"/>
      <c r="G31" s="23">
        <f t="shared" si="1"/>
        <v>0</v>
      </c>
      <c r="H31" s="12">
        <f t="shared" si="2"/>
        <v>3561.4299999999994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hidden="1" customHeight="1" x14ac:dyDescent="0.25">
      <c r="A32" s="2"/>
      <c r="B32" s="22">
        <f t="shared" si="3"/>
        <v>45356</v>
      </c>
      <c r="C32" s="27" t="s">
        <v>11</v>
      </c>
      <c r="D32" s="23"/>
      <c r="E32" s="23">
        <f t="shared" si="0"/>
        <v>0</v>
      </c>
      <c r="F32" s="25"/>
      <c r="G32" s="23">
        <f t="shared" si="1"/>
        <v>0</v>
      </c>
      <c r="H32" s="12">
        <f t="shared" si="2"/>
        <v>3561.4299999999994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hidden="1" customHeight="1" x14ac:dyDescent="0.25">
      <c r="A33" s="2"/>
      <c r="B33" s="22">
        <f t="shared" si="3"/>
        <v>45357</v>
      </c>
      <c r="C33" s="27" t="s">
        <v>11</v>
      </c>
      <c r="D33" s="23"/>
      <c r="E33" s="23">
        <f t="shared" si="0"/>
        <v>0</v>
      </c>
      <c r="F33" s="25"/>
      <c r="G33" s="23">
        <f t="shared" si="1"/>
        <v>0</v>
      </c>
      <c r="H33" s="12">
        <f t="shared" si="2"/>
        <v>3561.4299999999994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hidden="1" customHeight="1" x14ac:dyDescent="0.25">
      <c r="A34" s="2"/>
      <c r="B34" s="22">
        <f t="shared" si="3"/>
        <v>45358</v>
      </c>
      <c r="C34" s="27" t="s">
        <v>11</v>
      </c>
      <c r="D34" s="23"/>
      <c r="E34" s="23">
        <f t="shared" si="0"/>
        <v>0</v>
      </c>
      <c r="F34" s="25"/>
      <c r="G34" s="23">
        <f t="shared" si="1"/>
        <v>0</v>
      </c>
      <c r="H34" s="12">
        <f t="shared" si="2"/>
        <v>3561.4299999999994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hidden="1" customHeight="1" x14ac:dyDescent="0.25">
      <c r="A35" s="2"/>
      <c r="B35" s="22">
        <f t="shared" si="3"/>
        <v>45359</v>
      </c>
      <c r="C35" s="27" t="s">
        <v>11</v>
      </c>
      <c r="D35" s="23"/>
      <c r="E35" s="23">
        <f t="shared" si="0"/>
        <v>0</v>
      </c>
      <c r="F35" s="25"/>
      <c r="G35" s="23">
        <f t="shared" si="1"/>
        <v>0</v>
      </c>
      <c r="H35" s="12">
        <f t="shared" si="2"/>
        <v>3561.4299999999994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hidden="1" customHeight="1" x14ac:dyDescent="0.25">
      <c r="A36" s="2"/>
      <c r="B36" s="22">
        <f t="shared" si="3"/>
        <v>45362</v>
      </c>
      <c r="C36" s="13" t="s">
        <v>8</v>
      </c>
      <c r="D36" s="23"/>
      <c r="E36" s="23">
        <f t="shared" si="0"/>
        <v>0</v>
      </c>
      <c r="F36" s="25">
        <f>D36*25%</f>
        <v>0</v>
      </c>
      <c r="G36" s="23">
        <f t="shared" si="1"/>
        <v>0</v>
      </c>
      <c r="H36" s="12">
        <f>H35+F36-G36</f>
        <v>3561.4299999999994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18" t="s">
        <v>9</v>
      </c>
      <c r="C37" s="19"/>
      <c r="D37" s="20">
        <f>SUM(D10:D36)</f>
        <v>207421.82000000004</v>
      </c>
      <c r="E37" s="20">
        <f>SUM(E10:E36)</f>
        <v>155568.69</v>
      </c>
      <c r="F37" s="20">
        <f>SUM(F10:F36)</f>
        <v>51853.130000000005</v>
      </c>
      <c r="G37" s="23">
        <f>SUM(G10:G30)</f>
        <v>49261.87</v>
      </c>
      <c r="H37" s="12">
        <f>+H36</f>
        <v>3561.4299999999994</v>
      </c>
      <c r="I37" s="16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9"/>
      <c r="B38" s="79" t="s">
        <v>10</v>
      </c>
      <c r="C38" s="80"/>
      <c r="D38" s="80"/>
      <c r="E38" s="80"/>
      <c r="F38" s="80"/>
      <c r="G38" s="80"/>
      <c r="H38" s="81"/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9"/>
      <c r="B39" s="73" t="s">
        <v>29</v>
      </c>
      <c r="C39" s="74"/>
      <c r="D39" s="74"/>
      <c r="E39" s="74"/>
      <c r="F39" s="74"/>
      <c r="G39" s="74"/>
      <c r="H39" s="75"/>
      <c r="I39" s="3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2.25" customHeight="1" x14ac:dyDescent="0.25">
      <c r="A40" s="29"/>
      <c r="B40" s="82" t="s">
        <v>30</v>
      </c>
      <c r="C40" s="74"/>
      <c r="D40" s="74"/>
      <c r="E40" s="74"/>
      <c r="F40" s="74"/>
      <c r="G40" s="74"/>
      <c r="H40" s="75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.75" customHeight="1" x14ac:dyDescent="0.25">
      <c r="A41" s="29"/>
      <c r="B41" s="82"/>
      <c r="C41" s="74"/>
      <c r="D41" s="74"/>
      <c r="E41" s="74"/>
      <c r="F41" s="74"/>
      <c r="G41" s="74"/>
      <c r="H41" s="75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9"/>
      <c r="B42" s="73"/>
      <c r="C42" s="74"/>
      <c r="D42" s="74"/>
      <c r="E42" s="74"/>
      <c r="F42" s="74"/>
      <c r="G42" s="74"/>
      <c r="H42" s="75"/>
      <c r="I42" s="30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thickBot="1" x14ac:dyDescent="0.3">
      <c r="A43" s="29"/>
      <c r="B43" s="76"/>
      <c r="C43" s="77"/>
      <c r="D43" s="77"/>
      <c r="E43" s="77"/>
      <c r="F43" s="77"/>
      <c r="G43" s="77"/>
      <c r="H43" s="78"/>
      <c r="I43" s="30"/>
      <c r="J43" s="2"/>
      <c r="K43" s="1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31"/>
      <c r="C44" s="31"/>
      <c r="D44" s="31"/>
      <c r="E44" s="31"/>
      <c r="F44" s="31"/>
      <c r="G44" s="31"/>
      <c r="H44" s="3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</sheetData>
  <mergeCells count="8">
    <mergeCell ref="B42:H42"/>
    <mergeCell ref="B43:H43"/>
    <mergeCell ref="B7:H7"/>
    <mergeCell ref="B9:G9"/>
    <mergeCell ref="B38:H38"/>
    <mergeCell ref="B39:H39"/>
    <mergeCell ref="B40:H40"/>
    <mergeCell ref="B41:H41"/>
  </mergeCells>
  <phoneticPr fontId="9" type="noConversion"/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232E-F987-4A4D-BA34-A616CEE4280F}">
  <dimension ref="A1:XFD1002"/>
  <sheetViews>
    <sheetView tabSelected="1" zoomScale="110" zoomScaleNormal="110" workbookViewId="0">
      <selection activeCell="G47" sqref="G47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187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191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186</v>
      </c>
      <c r="C9" s="63"/>
      <c r="D9" s="63"/>
      <c r="E9" s="63"/>
      <c r="F9" s="63"/>
      <c r="G9" s="63"/>
      <c r="H9" s="12">
        <v>1599.25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46174</v>
      </c>
      <c r="C10" s="13" t="s">
        <v>8</v>
      </c>
      <c r="D10" s="23">
        <f>309849.85+6037.69</f>
        <v>315887.53999999998</v>
      </c>
      <c r="E10" s="23">
        <f>D10-F10</f>
        <v>236915.65499999997</v>
      </c>
      <c r="F10" s="23">
        <f>+D10*0.25</f>
        <v>78971.884999999995</v>
      </c>
      <c r="G10" s="23">
        <f>77462.39+1509.37</f>
        <v>78971.759999999995</v>
      </c>
      <c r="H10" s="12">
        <f>H9+F10-G10</f>
        <v>1599.375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>B10+(MOD(B10,7)=6)*2+1</f>
        <v>46175</v>
      </c>
      <c r="C11" s="13" t="s">
        <v>8</v>
      </c>
      <c r="D11" s="23">
        <f>15112.99+2450.63</f>
        <v>17563.62</v>
      </c>
      <c r="E11" s="23">
        <f t="shared" ref="E11:E30" si="0">D11-F11</f>
        <v>13172.715</v>
      </c>
      <c r="F11" s="23">
        <f>+D11*0.25</f>
        <v>4390.9049999999997</v>
      </c>
      <c r="G11" s="23">
        <f>3778.09+612.63</f>
        <v>4390.72</v>
      </c>
      <c r="H11" s="12">
        <f>H10+F11-G11</f>
        <v>1599.5599999999995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ref="B12:B32" si="1">B11+(MOD(B11,7)=6)*2+1</f>
        <v>46176</v>
      </c>
      <c r="C12" s="13" t="s">
        <v>8</v>
      </c>
      <c r="D12" s="23">
        <f>7020.93+2177.26</f>
        <v>9198.19</v>
      </c>
      <c r="E12" s="23">
        <f t="shared" si="0"/>
        <v>6898.6424999999999</v>
      </c>
      <c r="F12" s="23">
        <f t="shared" ref="F12:F30" si="2">+D12*0.25</f>
        <v>2299.5475000000001</v>
      </c>
      <c r="G12" s="23">
        <f>1755.19+544.3</f>
        <v>2299.4899999999998</v>
      </c>
      <c r="H12" s="12">
        <f t="shared" ref="H12:H32" si="3">H11+F12-G12</f>
        <v>1599.6174999999998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idden="1" x14ac:dyDescent="0.25">
      <c r="A13" s="2"/>
      <c r="B13" s="22">
        <f>B12+(MOD(B12,7)=6)*2+1</f>
        <v>46177</v>
      </c>
      <c r="C13" s="13" t="s">
        <v>8</v>
      </c>
      <c r="D13" s="23">
        <v>0</v>
      </c>
      <c r="E13" s="23">
        <f>D13-F13</f>
        <v>0</v>
      </c>
      <c r="F13" s="23">
        <f>+D13*0.25</f>
        <v>0</v>
      </c>
      <c r="G13" s="23">
        <v>0</v>
      </c>
      <c r="H13" s="12">
        <f t="shared" si="3"/>
        <v>1599.6174999999998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1"/>
        <v>46178</v>
      </c>
      <c r="C14" s="13" t="s">
        <v>8</v>
      </c>
      <c r="D14" s="23">
        <f>4977.46+1285.95</f>
        <v>6263.41</v>
      </c>
      <c r="E14" s="23">
        <f t="shared" si="0"/>
        <v>4697.5574999999999</v>
      </c>
      <c r="F14" s="23">
        <f t="shared" si="2"/>
        <v>1565.8525</v>
      </c>
      <c r="G14" s="23">
        <f>1244.32+321.47</f>
        <v>1565.79</v>
      </c>
      <c r="H14" s="12">
        <f t="shared" si="3"/>
        <v>1599.6799999999998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1"/>
        <v>46181</v>
      </c>
      <c r="C15" s="13" t="s">
        <v>8</v>
      </c>
      <c r="D15" s="23">
        <f>6950.76+2528.62</f>
        <v>9479.380000000001</v>
      </c>
      <c r="E15" s="23">
        <f t="shared" si="0"/>
        <v>7109.5350000000008</v>
      </c>
      <c r="F15" s="23">
        <f t="shared" si="2"/>
        <v>2369.8450000000003</v>
      </c>
      <c r="G15" s="23">
        <f>1737.65+632.15</f>
        <v>2369.8000000000002</v>
      </c>
      <c r="H15" s="12">
        <f t="shared" si="3"/>
        <v>1599.7249999999999</v>
      </c>
      <c r="I15" s="2"/>
      <c r="J15" s="2"/>
      <c r="K15" s="2"/>
      <c r="L15" s="2" t="s">
        <v>178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>B15+(MOD(B15,7)=6)*2+1</f>
        <v>46182</v>
      </c>
      <c r="C16" s="13" t="s">
        <v>8</v>
      </c>
      <c r="D16" s="23">
        <f>2323.82+1485.6</f>
        <v>3809.42</v>
      </c>
      <c r="E16" s="23">
        <f t="shared" si="0"/>
        <v>2857.0650000000001</v>
      </c>
      <c r="F16" s="23">
        <f t="shared" si="2"/>
        <v>952.35500000000002</v>
      </c>
      <c r="G16" s="23">
        <f>580.93+371.4</f>
        <v>952.32999999999993</v>
      </c>
      <c r="H16" s="12">
        <f>H15+F16-G16</f>
        <v>1599.75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 16384:16384" x14ac:dyDescent="0.25">
      <c r="A17" s="2"/>
      <c r="B17" s="22">
        <f>B16+(MOD(B16,7)=6)*2+1</f>
        <v>46183</v>
      </c>
      <c r="C17" s="13" t="s">
        <v>8</v>
      </c>
      <c r="D17" s="23">
        <f>4580.15+734.86</f>
        <v>5315.0099999999993</v>
      </c>
      <c r="E17" s="23">
        <f t="shared" si="0"/>
        <v>3986.2574999999997</v>
      </c>
      <c r="F17" s="23">
        <f t="shared" si="2"/>
        <v>1328.7524999999998</v>
      </c>
      <c r="G17" s="23">
        <f>1145.02+183.71</f>
        <v>1328.73</v>
      </c>
      <c r="H17" s="12">
        <f t="shared" si="3"/>
        <v>1599.7724999999996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 16384:16384" x14ac:dyDescent="0.25">
      <c r="A18" s="31" t="s">
        <v>12</v>
      </c>
      <c r="B18" s="48">
        <v>46183</v>
      </c>
      <c r="C18" s="49" t="s">
        <v>11</v>
      </c>
      <c r="D18" s="50">
        <v>0</v>
      </c>
      <c r="E18" s="50">
        <v>0</v>
      </c>
      <c r="F18" s="50">
        <v>0</v>
      </c>
      <c r="G18" s="50">
        <v>393.38</v>
      </c>
      <c r="H18" s="12">
        <f>H17+F18-G18</f>
        <v>1206.3924999999995</v>
      </c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 16384:16384" x14ac:dyDescent="0.25">
      <c r="A19" s="2"/>
      <c r="B19" s="22">
        <f>B17+(MOD(B17,7)=6)*2+1</f>
        <v>46184</v>
      </c>
      <c r="C19" s="13" t="s">
        <v>8</v>
      </c>
      <c r="D19" s="23">
        <f>5903.33+4034.39</f>
        <v>9937.7199999999993</v>
      </c>
      <c r="E19" s="23">
        <f t="shared" si="0"/>
        <v>7453.2899999999991</v>
      </c>
      <c r="F19" s="23">
        <f t="shared" si="2"/>
        <v>2484.4299999999998</v>
      </c>
      <c r="G19" s="23">
        <f>1475.82+1008.59</f>
        <v>2484.41</v>
      </c>
      <c r="H19" s="12">
        <f t="shared" si="3"/>
        <v>1206.4124999999995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1"/>
        <v>46185</v>
      </c>
      <c r="C20" s="13" t="s">
        <v>8</v>
      </c>
      <c r="D20" s="23">
        <f>898.8+2808.8</f>
        <v>3707.6000000000004</v>
      </c>
      <c r="E20" s="23">
        <f t="shared" si="0"/>
        <v>2780.7000000000003</v>
      </c>
      <c r="F20" s="23">
        <f t="shared" si="2"/>
        <v>926.90000000000009</v>
      </c>
      <c r="G20" s="23">
        <f>224.7+702.2</f>
        <v>926.90000000000009</v>
      </c>
      <c r="H20" s="12">
        <f t="shared" si="3"/>
        <v>1206.4124999999995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x14ac:dyDescent="0.25">
      <c r="A21" s="2"/>
      <c r="B21" s="22">
        <f t="shared" si="1"/>
        <v>46188</v>
      </c>
      <c r="C21" s="13" t="s">
        <v>8</v>
      </c>
      <c r="D21" s="23">
        <f>8930.19+1572.95</f>
        <v>10503.140000000001</v>
      </c>
      <c r="E21" s="23">
        <f t="shared" si="0"/>
        <v>7877.3550000000014</v>
      </c>
      <c r="F21" s="23">
        <f t="shared" si="2"/>
        <v>2625.7850000000003</v>
      </c>
      <c r="G21" s="23">
        <f>2232.51+393.22</f>
        <v>2625.7300000000005</v>
      </c>
      <c r="H21" s="12">
        <f t="shared" si="3"/>
        <v>1206.4674999999993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ht="15.75" customHeight="1" x14ac:dyDescent="0.25">
      <c r="A22" s="2"/>
      <c r="B22" s="22">
        <f>B21+(MOD(B21,7)=6)*2+1</f>
        <v>46189</v>
      </c>
      <c r="C22" s="13" t="s">
        <v>8</v>
      </c>
      <c r="D22" s="23">
        <f>10767.78+1054.11+170</f>
        <v>11991.890000000001</v>
      </c>
      <c r="E22" s="23">
        <f t="shared" si="0"/>
        <v>8993.9175000000014</v>
      </c>
      <c r="F22" s="23">
        <f t="shared" si="2"/>
        <v>2997.9725000000003</v>
      </c>
      <c r="G22" s="23">
        <f>2691.93+306.02</f>
        <v>2997.95</v>
      </c>
      <c r="H22" s="12">
        <f t="shared" si="3"/>
        <v>1206.4899999999998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x14ac:dyDescent="0.25">
      <c r="A23" s="2"/>
      <c r="B23" s="22">
        <f t="shared" si="1"/>
        <v>46190</v>
      </c>
      <c r="C23" s="13" t="s">
        <v>8</v>
      </c>
      <c r="D23" s="23">
        <f>5886.4+795.96</f>
        <v>6682.36</v>
      </c>
      <c r="E23" s="23">
        <f t="shared" si="0"/>
        <v>5011.7699999999995</v>
      </c>
      <c r="F23" s="23">
        <f t="shared" si="2"/>
        <v>1670.59</v>
      </c>
      <c r="G23" s="23">
        <f>1471.58+198.98</f>
        <v>1670.56</v>
      </c>
      <c r="H23" s="12">
        <f t="shared" si="3"/>
        <v>1206.52</v>
      </c>
      <c r="I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x14ac:dyDescent="0.25">
      <c r="A24" s="2"/>
      <c r="B24" s="22">
        <f t="shared" si="1"/>
        <v>46191</v>
      </c>
      <c r="C24" s="13" t="s">
        <v>8</v>
      </c>
      <c r="D24" s="23">
        <f>3411.83+3193.89</f>
        <v>6605.7199999999993</v>
      </c>
      <c r="E24" s="23">
        <f t="shared" si="0"/>
        <v>4954.2899999999991</v>
      </c>
      <c r="F24" s="23">
        <f t="shared" si="2"/>
        <v>1651.4299999999998</v>
      </c>
      <c r="G24" s="23">
        <f>852.95+798.45</f>
        <v>1651.4</v>
      </c>
      <c r="H24" s="12">
        <f t="shared" si="3"/>
        <v>1206.5499999999997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ht="15.75" customHeight="1" x14ac:dyDescent="0.25">
      <c r="A25" s="2"/>
      <c r="B25" s="22">
        <f t="shared" si="1"/>
        <v>46192</v>
      </c>
      <c r="C25" s="13" t="s">
        <v>8</v>
      </c>
      <c r="D25" s="23">
        <f>1172.38+1171.06</f>
        <v>2343.44</v>
      </c>
      <c r="E25" s="23">
        <f t="shared" si="0"/>
        <v>1757.58</v>
      </c>
      <c r="F25" s="23">
        <f t="shared" si="2"/>
        <v>585.86</v>
      </c>
      <c r="G25" s="23">
        <f>293.08+292.76</f>
        <v>585.83999999999992</v>
      </c>
      <c r="H25" s="12">
        <f t="shared" si="3"/>
        <v>1206.57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ht="15.75" customHeight="1" x14ac:dyDescent="0.25">
      <c r="A26" s="2"/>
      <c r="B26" s="22">
        <f t="shared" si="1"/>
        <v>46195</v>
      </c>
      <c r="C26" s="13" t="s">
        <v>8</v>
      </c>
      <c r="D26" s="23">
        <f>4891.36+2214.15</f>
        <v>7105.51</v>
      </c>
      <c r="E26" s="23">
        <f t="shared" si="0"/>
        <v>5329.1324999999997</v>
      </c>
      <c r="F26" s="23">
        <f t="shared" si="2"/>
        <v>1776.3775000000001</v>
      </c>
      <c r="G26" s="23">
        <f>1222.82+553.51</f>
        <v>1776.33</v>
      </c>
      <c r="H26" s="12">
        <f t="shared" si="3"/>
        <v>1206.6175000000003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x14ac:dyDescent="0.25">
      <c r="A27" s="2"/>
      <c r="B27" s="22">
        <f t="shared" si="1"/>
        <v>46196</v>
      </c>
      <c r="C27" s="13" t="s">
        <v>8</v>
      </c>
      <c r="D27" s="23">
        <f>5055.62+340</f>
        <v>5395.62</v>
      </c>
      <c r="E27" s="23">
        <f t="shared" si="0"/>
        <v>4046.7150000000001</v>
      </c>
      <c r="F27" s="23">
        <f t="shared" si="2"/>
        <v>1348.905</v>
      </c>
      <c r="G27" s="23">
        <f>1263.84+85</f>
        <v>1348.84</v>
      </c>
      <c r="H27" s="12">
        <f t="shared" si="3"/>
        <v>1206.6825000000001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x14ac:dyDescent="0.25">
      <c r="A28" s="2"/>
      <c r="B28" s="22">
        <f t="shared" si="1"/>
        <v>46197</v>
      </c>
      <c r="C28" s="13" t="s">
        <v>8</v>
      </c>
      <c r="D28" s="23">
        <f>1957.25+981.27</f>
        <v>2938.52</v>
      </c>
      <c r="E28" s="23">
        <f>D28-F28</f>
        <v>2203.89</v>
      </c>
      <c r="F28" s="23">
        <f t="shared" si="2"/>
        <v>734.63</v>
      </c>
      <c r="G28" s="23">
        <f>489.27+245.31</f>
        <v>734.57999999999993</v>
      </c>
      <c r="H28" s="12">
        <f t="shared" si="3"/>
        <v>1206.7325000000001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 16384:16384" ht="15.75" customHeight="1" x14ac:dyDescent="0.25">
      <c r="A29" s="2"/>
      <c r="B29" s="22">
        <f>B28+(MOD(B28,7)=6)*2+1</f>
        <v>46198</v>
      </c>
      <c r="C29" s="13" t="s">
        <v>8</v>
      </c>
      <c r="D29" s="23">
        <f>2025.22+1140.99</f>
        <v>3166.21</v>
      </c>
      <c r="E29" s="23">
        <f t="shared" si="0"/>
        <v>2374.6575000000003</v>
      </c>
      <c r="F29" s="23">
        <f t="shared" si="2"/>
        <v>791.55250000000001</v>
      </c>
      <c r="G29" s="23">
        <f>506.27+285.24</f>
        <v>791.51</v>
      </c>
      <c r="H29" s="12">
        <f t="shared" si="3"/>
        <v>1206.7750000000001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XFD29">
        <f>SUM(A29:XFC29)</f>
        <v>54528.705000000002</v>
      </c>
    </row>
    <row r="30" spans="1:26 16384:16384" x14ac:dyDescent="0.25">
      <c r="A30" s="32"/>
      <c r="B30" s="22">
        <f t="shared" si="1"/>
        <v>46199</v>
      </c>
      <c r="C30" s="13" t="s">
        <v>8</v>
      </c>
      <c r="D30" s="38">
        <f>4450.52+2799.68</f>
        <v>7250.2000000000007</v>
      </c>
      <c r="E30" s="23">
        <f t="shared" si="0"/>
        <v>5437.6500000000005</v>
      </c>
      <c r="F30" s="23">
        <f t="shared" si="2"/>
        <v>1812.5500000000002</v>
      </c>
      <c r="G30" s="23">
        <f>1112.6+699.91</f>
        <v>1812.5099999999998</v>
      </c>
      <c r="H30" s="12">
        <f t="shared" si="3"/>
        <v>1206.8150000000005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 16384:16384" x14ac:dyDescent="0.25">
      <c r="A31" s="32"/>
      <c r="B31" s="22">
        <f t="shared" si="1"/>
        <v>46202</v>
      </c>
      <c r="C31" s="13" t="s">
        <v>8</v>
      </c>
      <c r="D31" s="38">
        <f>1505.87+1738.99</f>
        <v>3244.8599999999997</v>
      </c>
      <c r="E31" s="23">
        <f t="shared" ref="E31" si="4">D31-F31</f>
        <v>2433.6449999999995</v>
      </c>
      <c r="F31" s="23">
        <f t="shared" ref="F31" si="5">+D31*0.25</f>
        <v>811.21499999999992</v>
      </c>
      <c r="G31" s="38">
        <f>376.45+434.73</f>
        <v>811.18000000000006</v>
      </c>
      <c r="H31" s="12">
        <f t="shared" si="3"/>
        <v>1206.8500000000004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 16384:16384" x14ac:dyDescent="0.25">
      <c r="A32" s="32"/>
      <c r="B32" s="22">
        <f t="shared" si="1"/>
        <v>46203</v>
      </c>
      <c r="C32" s="13" t="s">
        <v>8</v>
      </c>
      <c r="D32" s="38">
        <f>9551.69+3138.37</f>
        <v>12690.060000000001</v>
      </c>
      <c r="E32" s="23">
        <f t="shared" ref="E32:E33" si="6">D32-F32</f>
        <v>9517.5450000000019</v>
      </c>
      <c r="F32" s="23">
        <f t="shared" ref="F32" si="7">+D32*0.25</f>
        <v>3172.5150000000003</v>
      </c>
      <c r="G32" s="38">
        <f>2387.87+784.54</f>
        <v>3172.41</v>
      </c>
      <c r="H32" s="12">
        <f t="shared" si="3"/>
        <v>1206.9550000000008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x14ac:dyDescent="0.25">
      <c r="A33" s="32" t="s">
        <v>13</v>
      </c>
      <c r="B33" s="57">
        <v>46203</v>
      </c>
      <c r="C33" s="49" t="s">
        <v>8</v>
      </c>
      <c r="D33" s="54">
        <v>5760.01</v>
      </c>
      <c r="E33" s="50">
        <f t="shared" si="6"/>
        <v>4320.0074999999997</v>
      </c>
      <c r="F33" s="50">
        <f>+D33*0.25</f>
        <v>1440.0025000000001</v>
      </c>
      <c r="G33" s="54">
        <v>0</v>
      </c>
      <c r="H33" s="51">
        <f>H32+F33-G33</f>
        <v>2646.9575000000009</v>
      </c>
      <c r="I33" s="31"/>
      <c r="J33" s="39">
        <f>H33-1205.87</f>
        <v>1441.087500000001</v>
      </c>
      <c r="K33" s="58">
        <f>F33-J33</f>
        <v>-1.0850000000009459</v>
      </c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 thickBot="1" x14ac:dyDescent="0.3">
      <c r="A34" s="2"/>
      <c r="B34" s="18" t="s">
        <v>9</v>
      </c>
      <c r="C34" s="19"/>
      <c r="D34" s="20">
        <f>SUM(D10:D33)</f>
        <v>466839.42999999993</v>
      </c>
      <c r="E34" s="20">
        <f>SUM(E10:E33)</f>
        <v>350129.57249999995</v>
      </c>
      <c r="F34" s="20">
        <f>SUM(F10:F33)</f>
        <v>116709.85749999998</v>
      </c>
      <c r="G34" s="20">
        <f>SUM(G10:G33)</f>
        <v>115662.14999999997</v>
      </c>
      <c r="H34" s="12">
        <f>H33</f>
        <v>2646.9575000000009</v>
      </c>
      <c r="I34" s="16"/>
      <c r="J34" s="56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9"/>
      <c r="B35" s="64" t="s">
        <v>10</v>
      </c>
      <c r="C35" s="65"/>
      <c r="D35" s="65"/>
      <c r="E35" s="65"/>
      <c r="F35" s="65"/>
      <c r="G35" s="65"/>
      <c r="H35" s="66"/>
      <c r="I35" s="30"/>
      <c r="J35" s="16"/>
      <c r="K35" s="1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9"/>
      <c r="B36" s="67" t="s">
        <v>189</v>
      </c>
      <c r="C36" s="68"/>
      <c r="D36" s="68"/>
      <c r="E36" s="68"/>
      <c r="F36" s="68"/>
      <c r="G36" s="68"/>
      <c r="H36" s="69"/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1"/>
      <c r="B37" s="70" t="s">
        <v>190</v>
      </c>
      <c r="C37" s="71"/>
      <c r="D37" s="71"/>
      <c r="E37" s="71"/>
      <c r="F37" s="71"/>
      <c r="G37" s="71"/>
      <c r="H37" s="72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33.75" customHeight="1" x14ac:dyDescent="0.25">
      <c r="A38" s="31"/>
      <c r="B38" s="70" t="s">
        <v>188</v>
      </c>
      <c r="C38" s="71"/>
      <c r="D38" s="71"/>
      <c r="E38" s="71"/>
      <c r="F38" s="71"/>
      <c r="G38" s="71"/>
      <c r="H38" s="72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 thickBot="1" x14ac:dyDescent="0.3">
      <c r="A39" s="2"/>
      <c r="B39" s="45"/>
      <c r="C39" s="46"/>
      <c r="D39" s="46"/>
      <c r="E39" s="46"/>
      <c r="F39" s="46"/>
      <c r="G39" s="46"/>
      <c r="H39" s="4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6">
    <mergeCell ref="B38:H38"/>
    <mergeCell ref="B7:H7"/>
    <mergeCell ref="B9:G9"/>
    <mergeCell ref="B35:H35"/>
    <mergeCell ref="B36:H36"/>
    <mergeCell ref="B37:H37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9"/>
  <sheetViews>
    <sheetView topLeftCell="A13" zoomScaleNormal="10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31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44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32</v>
      </c>
      <c r="C9" s="63"/>
      <c r="D9" s="63"/>
      <c r="E9" s="63"/>
      <c r="F9" s="63"/>
      <c r="G9" s="63"/>
      <c r="H9" s="12">
        <v>3561.43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45383</v>
      </c>
      <c r="C10" s="13" t="s">
        <v>8</v>
      </c>
      <c r="D10" s="23">
        <v>23532.74</v>
      </c>
      <c r="E10" s="23">
        <f t="shared" ref="E10:E38" si="0">D10-F10</f>
        <v>17649.800000000003</v>
      </c>
      <c r="F10" s="23">
        <v>5882.94</v>
      </c>
      <c r="G10" s="23">
        <f t="shared" ref="G10:G38" si="1">F10</f>
        <v>5882.94</v>
      </c>
      <c r="H10" s="12">
        <f t="shared" ref="H10:H37" si="2">H9+F10-G10</f>
        <v>3561.4299999999994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8" si="3">B10+(MOD(B10,7)=6)*2+1</f>
        <v>45384</v>
      </c>
      <c r="C11" s="13" t="s">
        <v>8</v>
      </c>
      <c r="D11" s="23">
        <v>43078.23</v>
      </c>
      <c r="E11" s="23">
        <f t="shared" si="0"/>
        <v>32309.420000000006</v>
      </c>
      <c r="F11" s="24">
        <v>10768.81</v>
      </c>
      <c r="G11" s="23">
        <f t="shared" si="1"/>
        <v>10768.81</v>
      </c>
      <c r="H11" s="12">
        <f t="shared" si="2"/>
        <v>3561.4299999999985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3"/>
        <v>45385</v>
      </c>
      <c r="C12" s="13" t="s">
        <v>8</v>
      </c>
      <c r="D12" s="23">
        <v>3518.25</v>
      </c>
      <c r="E12" s="23">
        <f t="shared" si="0"/>
        <v>2638.77</v>
      </c>
      <c r="F12" s="24">
        <v>879.48</v>
      </c>
      <c r="G12" s="23">
        <f t="shared" si="1"/>
        <v>879.48</v>
      </c>
      <c r="H12" s="12">
        <f t="shared" si="2"/>
        <v>3561.429999999998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3"/>
        <v>45386</v>
      </c>
      <c r="C13" s="13" t="s">
        <v>8</v>
      </c>
      <c r="D13" s="23">
        <v>9077.7800000000007</v>
      </c>
      <c r="E13" s="23">
        <f t="shared" si="0"/>
        <v>6808.42</v>
      </c>
      <c r="F13" s="24">
        <v>2269.36</v>
      </c>
      <c r="G13" s="23">
        <f t="shared" si="1"/>
        <v>2269.36</v>
      </c>
      <c r="H13" s="12">
        <f t="shared" si="2"/>
        <v>3561.429999999998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3"/>
        <v>45387</v>
      </c>
      <c r="C14" s="13" t="s">
        <v>8</v>
      </c>
      <c r="D14" s="23">
        <v>10392.25</v>
      </c>
      <c r="E14" s="23">
        <f t="shared" si="0"/>
        <v>7794.3</v>
      </c>
      <c r="F14" s="24">
        <v>2597.9499999999998</v>
      </c>
      <c r="G14" s="23">
        <f t="shared" si="1"/>
        <v>2597.9499999999998</v>
      </c>
      <c r="H14" s="12">
        <f t="shared" si="2"/>
        <v>3561.4299999999976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3"/>
        <v>45390</v>
      </c>
      <c r="C15" s="13" t="s">
        <v>8</v>
      </c>
      <c r="D15" s="23">
        <v>7992.37</v>
      </c>
      <c r="E15" s="23">
        <f t="shared" si="0"/>
        <v>5994.42</v>
      </c>
      <c r="F15" s="25">
        <v>1997.95</v>
      </c>
      <c r="G15" s="23">
        <f t="shared" si="1"/>
        <v>1997.95</v>
      </c>
      <c r="H15" s="12">
        <f t="shared" si="2"/>
        <v>3561.4299999999976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3"/>
        <v>45391</v>
      </c>
      <c r="C16" s="13" t="s">
        <v>8</v>
      </c>
      <c r="D16" s="23">
        <v>2738.59</v>
      </c>
      <c r="E16" s="23">
        <f t="shared" si="0"/>
        <v>2054.02</v>
      </c>
      <c r="F16" s="25">
        <v>684.57</v>
      </c>
      <c r="G16" s="23">
        <f t="shared" si="1"/>
        <v>684.57</v>
      </c>
      <c r="H16" s="12">
        <f t="shared" si="2"/>
        <v>3561.4299999999971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3"/>
        <v>45392</v>
      </c>
      <c r="C17" s="13" t="s">
        <v>8</v>
      </c>
      <c r="D17" s="23">
        <v>4474.47</v>
      </c>
      <c r="E17" s="23">
        <f t="shared" si="0"/>
        <v>3355.96</v>
      </c>
      <c r="F17" s="25">
        <v>1118.51</v>
      </c>
      <c r="G17" s="23">
        <f t="shared" si="1"/>
        <v>1118.51</v>
      </c>
      <c r="H17" s="12">
        <f t="shared" si="2"/>
        <v>3561.4299999999967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3"/>
        <v>45393</v>
      </c>
      <c r="C18" s="13" t="s">
        <v>8</v>
      </c>
      <c r="D18" s="23">
        <v>8266.84</v>
      </c>
      <c r="E18" s="23">
        <f t="shared" si="0"/>
        <v>6200.27</v>
      </c>
      <c r="F18" s="25">
        <v>2066.5700000000002</v>
      </c>
      <c r="G18" s="23">
        <f t="shared" si="1"/>
        <v>2066.5700000000002</v>
      </c>
      <c r="H18" s="12">
        <f t="shared" si="2"/>
        <v>3561.4299999999962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3"/>
        <v>45394</v>
      </c>
      <c r="C19" s="13" t="s">
        <v>8</v>
      </c>
      <c r="D19" s="23">
        <v>9181.7099999999991</v>
      </c>
      <c r="E19" s="23">
        <f t="shared" si="0"/>
        <v>6886.369999999999</v>
      </c>
      <c r="F19" s="25">
        <v>2295.34</v>
      </c>
      <c r="G19" s="23">
        <f t="shared" si="1"/>
        <v>2295.34</v>
      </c>
      <c r="H19" s="12">
        <f t="shared" si="2"/>
        <v>3561.4299999999967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3"/>
        <v>45397</v>
      </c>
      <c r="C20" s="13" t="s">
        <v>8</v>
      </c>
      <c r="D20" s="23">
        <v>3620.9</v>
      </c>
      <c r="E20" s="23">
        <f t="shared" si="0"/>
        <v>2715.71</v>
      </c>
      <c r="F20" s="25">
        <v>905.19</v>
      </c>
      <c r="G20" s="23">
        <f t="shared" si="1"/>
        <v>905.19</v>
      </c>
      <c r="H20" s="12">
        <f t="shared" si="2"/>
        <v>3561.4299999999971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3"/>
        <v>45398</v>
      </c>
      <c r="C21" s="13" t="s">
        <v>8</v>
      </c>
      <c r="D21" s="23">
        <v>10023.42</v>
      </c>
      <c r="E21" s="23">
        <f t="shared" si="0"/>
        <v>7517.65</v>
      </c>
      <c r="F21" s="25">
        <v>2505.77</v>
      </c>
      <c r="G21" s="23">
        <f t="shared" si="1"/>
        <v>2505.77</v>
      </c>
      <c r="H21" s="12">
        <f t="shared" si="2"/>
        <v>3561.4299999999971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3"/>
        <v>45399</v>
      </c>
      <c r="C22" s="13" t="s">
        <v>8</v>
      </c>
      <c r="D22" s="23">
        <v>2953.51</v>
      </c>
      <c r="E22" s="23">
        <f t="shared" si="0"/>
        <v>2215.1800000000003</v>
      </c>
      <c r="F22" s="25">
        <v>738.33</v>
      </c>
      <c r="G22" s="23">
        <f t="shared" si="1"/>
        <v>738.33</v>
      </c>
      <c r="H22" s="12">
        <f t="shared" si="2"/>
        <v>3561.4299999999976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3"/>
        <v>45400</v>
      </c>
      <c r="C23" s="13" t="s">
        <v>8</v>
      </c>
      <c r="D23" s="23">
        <v>3688.51</v>
      </c>
      <c r="E23" s="23">
        <f t="shared" si="0"/>
        <v>2766.42</v>
      </c>
      <c r="F23" s="25">
        <v>922.09</v>
      </c>
      <c r="G23" s="23">
        <f t="shared" si="1"/>
        <v>922.09</v>
      </c>
      <c r="H23" s="12">
        <f t="shared" si="2"/>
        <v>3561.4299999999976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3"/>
        <v>45401</v>
      </c>
      <c r="C24" s="13" t="s">
        <v>8</v>
      </c>
      <c r="D24" s="23">
        <v>1819.98</v>
      </c>
      <c r="E24" s="23">
        <f t="shared" si="0"/>
        <v>1365.04</v>
      </c>
      <c r="F24" s="25">
        <v>454.94</v>
      </c>
      <c r="G24" s="23">
        <f t="shared" si="1"/>
        <v>454.94</v>
      </c>
      <c r="H24" s="12">
        <f t="shared" si="2"/>
        <v>3561.4299999999976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3"/>
        <v>45404</v>
      </c>
      <c r="C25" s="13" t="s">
        <v>8</v>
      </c>
      <c r="D25" s="23">
        <v>4037.97</v>
      </c>
      <c r="E25" s="23">
        <f t="shared" si="0"/>
        <v>3028.5</v>
      </c>
      <c r="F25" s="25">
        <v>1009.47</v>
      </c>
      <c r="G25" s="23">
        <f t="shared" si="1"/>
        <v>1009.47</v>
      </c>
      <c r="H25" s="12">
        <f t="shared" si="2"/>
        <v>3561.4299999999976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3"/>
        <v>45405</v>
      </c>
      <c r="C26" s="13" t="s">
        <v>8</v>
      </c>
      <c r="D26" s="23">
        <v>5785.98</v>
      </c>
      <c r="E26" s="23">
        <f t="shared" si="0"/>
        <v>4339.5199999999995</v>
      </c>
      <c r="F26" s="25">
        <v>1446.46</v>
      </c>
      <c r="G26" s="23">
        <f t="shared" si="1"/>
        <v>1446.46</v>
      </c>
      <c r="H26" s="12">
        <f t="shared" si="2"/>
        <v>3561.4299999999976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3"/>
        <v>45406</v>
      </c>
      <c r="C27" s="13" t="s">
        <v>8</v>
      </c>
      <c r="D27" s="23">
        <v>4269.26</v>
      </c>
      <c r="E27" s="23">
        <f t="shared" si="0"/>
        <v>3202</v>
      </c>
      <c r="F27" s="25">
        <v>1067.26</v>
      </c>
      <c r="G27" s="23">
        <f t="shared" si="1"/>
        <v>1067.26</v>
      </c>
      <c r="H27" s="12">
        <f t="shared" si="2"/>
        <v>3561.4299999999976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3"/>
        <v>45407</v>
      </c>
      <c r="C28" s="13" t="s">
        <v>8</v>
      </c>
      <c r="D28" s="23">
        <v>3977.44</v>
      </c>
      <c r="E28" s="23">
        <f t="shared" si="0"/>
        <v>2983.12</v>
      </c>
      <c r="F28" s="25">
        <v>994.32</v>
      </c>
      <c r="G28" s="23">
        <f t="shared" si="1"/>
        <v>994.32</v>
      </c>
      <c r="H28" s="12">
        <f t="shared" si="2"/>
        <v>3561.4299999999971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3"/>
        <v>45408</v>
      </c>
      <c r="C29" s="13" t="s">
        <v>8</v>
      </c>
      <c r="D29" s="23">
        <v>6109.24</v>
      </c>
      <c r="E29" s="23">
        <f t="shared" si="0"/>
        <v>4582</v>
      </c>
      <c r="F29" s="25">
        <v>1527.24</v>
      </c>
      <c r="G29" s="23">
        <f>F29</f>
        <v>1527.24</v>
      </c>
      <c r="H29" s="12">
        <f>H28+F29-G29</f>
        <v>3561.4299999999976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32"/>
      <c r="B30" s="22">
        <f t="shared" si="3"/>
        <v>45411</v>
      </c>
      <c r="C30" s="13" t="s">
        <v>33</v>
      </c>
      <c r="D30" s="23">
        <v>6717.07</v>
      </c>
      <c r="E30" s="23">
        <f t="shared" si="0"/>
        <v>5037.8999999999996</v>
      </c>
      <c r="F30" s="25">
        <v>1679.17</v>
      </c>
      <c r="G30" s="23">
        <f>F30</f>
        <v>1679.17</v>
      </c>
      <c r="H30" s="12">
        <f>H29+F30-G30</f>
        <v>3561.4299999999976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2"/>
      <c r="B31" s="22">
        <f t="shared" si="3"/>
        <v>45412</v>
      </c>
      <c r="C31" s="13" t="s">
        <v>34</v>
      </c>
      <c r="D31" s="23">
        <v>25329.32</v>
      </c>
      <c r="E31" s="23">
        <f t="shared" si="0"/>
        <v>18997.43</v>
      </c>
      <c r="F31" s="25">
        <v>6331.89</v>
      </c>
      <c r="G31" s="23">
        <f>F31</f>
        <v>6331.89</v>
      </c>
      <c r="H31" s="12">
        <f>H30+F31-G31</f>
        <v>3561.4299999999976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x14ac:dyDescent="0.25">
      <c r="A32" s="26" t="s">
        <v>12</v>
      </c>
      <c r="B32" s="22">
        <v>45383</v>
      </c>
      <c r="C32" s="13" t="s">
        <v>11</v>
      </c>
      <c r="D32" s="28">
        <v>11916.26</v>
      </c>
      <c r="E32" s="28">
        <f>D32-F32</f>
        <v>8937.19</v>
      </c>
      <c r="F32" s="25">
        <v>2979.07</v>
      </c>
      <c r="G32" s="23">
        <v>0</v>
      </c>
      <c r="H32" s="12">
        <f>H31+F32-G32</f>
        <v>6540.4999999999982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idden="1" x14ac:dyDescent="0.25">
      <c r="A33" s="2"/>
      <c r="B33" s="22">
        <f t="shared" si="3"/>
        <v>45384</v>
      </c>
      <c r="C33" s="27" t="s">
        <v>11</v>
      </c>
      <c r="D33" s="23"/>
      <c r="E33" s="23">
        <f t="shared" si="0"/>
        <v>0</v>
      </c>
      <c r="F33" s="25"/>
      <c r="G33" s="23">
        <f t="shared" si="1"/>
        <v>0</v>
      </c>
      <c r="H33" s="12">
        <f t="shared" si="2"/>
        <v>6540.4999999999982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6" t="s">
        <v>13</v>
      </c>
      <c r="B34" s="22">
        <f t="shared" si="3"/>
        <v>45385</v>
      </c>
      <c r="C34" s="27" t="s">
        <v>11</v>
      </c>
      <c r="D34" s="33">
        <v>-156.80000000000001</v>
      </c>
      <c r="E34" s="33">
        <f t="shared" si="0"/>
        <v>-117.60000000000001</v>
      </c>
      <c r="F34" s="33">
        <v>-39.200000000000003</v>
      </c>
      <c r="G34" s="23">
        <v>0</v>
      </c>
      <c r="H34" s="12">
        <f>H33+F34-G34</f>
        <v>6501.2999999999984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6" t="s">
        <v>37</v>
      </c>
      <c r="B35" s="22">
        <v>45385</v>
      </c>
      <c r="C35" s="27" t="s">
        <v>11</v>
      </c>
      <c r="D35" s="23">
        <v>0</v>
      </c>
      <c r="E35" s="23">
        <f t="shared" si="0"/>
        <v>0</v>
      </c>
      <c r="F35" s="25">
        <v>0</v>
      </c>
      <c r="G35" s="23">
        <v>970.17</v>
      </c>
      <c r="H35" s="12">
        <f t="shared" si="2"/>
        <v>5531.1299999999983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idden="1" x14ac:dyDescent="0.25">
      <c r="A36" s="2"/>
      <c r="B36" s="22">
        <f>B35+(MOD(B35,7)=6)*2+1</f>
        <v>45386</v>
      </c>
      <c r="C36" s="27" t="s">
        <v>11</v>
      </c>
      <c r="D36" s="23"/>
      <c r="E36" s="23">
        <f t="shared" si="0"/>
        <v>0</v>
      </c>
      <c r="F36" s="25">
        <v>0</v>
      </c>
      <c r="G36" s="23">
        <f t="shared" si="1"/>
        <v>0</v>
      </c>
      <c r="H36" s="12">
        <f>H35+F36-G36</f>
        <v>5531.1299999999983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idden="1" x14ac:dyDescent="0.25">
      <c r="A37" s="2"/>
      <c r="B37" s="22">
        <f t="shared" si="3"/>
        <v>45387</v>
      </c>
      <c r="C37" s="27" t="s">
        <v>11</v>
      </c>
      <c r="D37" s="23"/>
      <c r="E37" s="23">
        <f t="shared" si="0"/>
        <v>0</v>
      </c>
      <c r="F37" s="25">
        <v>0</v>
      </c>
      <c r="G37" s="23">
        <f t="shared" si="1"/>
        <v>0</v>
      </c>
      <c r="H37" s="12">
        <f t="shared" si="2"/>
        <v>5531.1299999999983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idden="1" x14ac:dyDescent="0.25">
      <c r="A38" s="2"/>
      <c r="B38" s="22">
        <f t="shared" si="3"/>
        <v>45390</v>
      </c>
      <c r="C38" s="13" t="s">
        <v>8</v>
      </c>
      <c r="D38" s="23"/>
      <c r="E38" s="23">
        <f t="shared" si="0"/>
        <v>0</v>
      </c>
      <c r="F38" s="25">
        <f>D38*25%</f>
        <v>0</v>
      </c>
      <c r="G38" s="23">
        <f t="shared" si="1"/>
        <v>0</v>
      </c>
      <c r="H38" s="12">
        <f>H37+F38-G38</f>
        <v>5531.1299999999983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18" t="s">
        <v>9</v>
      </c>
      <c r="C39" s="19"/>
      <c r="D39" s="20">
        <f>SUM(D10:D38)</f>
        <v>212345.29000000007</v>
      </c>
      <c r="E39" s="20">
        <f>SUM(E10:E38)</f>
        <v>159261.81</v>
      </c>
      <c r="F39" s="20">
        <f>SUM(F10:F38)</f>
        <v>53083.479999999996</v>
      </c>
      <c r="G39" s="14">
        <f>SUM(G10:G32)</f>
        <v>50143.609999999993</v>
      </c>
      <c r="H39" s="12">
        <f>+H38</f>
        <v>5531.1299999999983</v>
      </c>
      <c r="I39" s="1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9"/>
      <c r="B40" s="79" t="s">
        <v>10</v>
      </c>
      <c r="C40" s="80"/>
      <c r="D40" s="80"/>
      <c r="E40" s="80"/>
      <c r="F40" s="80"/>
      <c r="G40" s="80"/>
      <c r="H40" s="81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9"/>
      <c r="B41" s="73" t="s">
        <v>35</v>
      </c>
      <c r="C41" s="74"/>
      <c r="D41" s="74"/>
      <c r="E41" s="74"/>
      <c r="F41" s="74"/>
      <c r="G41" s="74"/>
      <c r="H41" s="75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2.25" customHeight="1" x14ac:dyDescent="0.25">
      <c r="A42" s="29"/>
      <c r="B42" s="82" t="s">
        <v>38</v>
      </c>
      <c r="C42" s="74"/>
      <c r="D42" s="74"/>
      <c r="E42" s="74"/>
      <c r="F42" s="74"/>
      <c r="G42" s="74"/>
      <c r="H42" s="75"/>
      <c r="I42" s="30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.75" customHeight="1" x14ac:dyDescent="0.25">
      <c r="A43" s="29"/>
      <c r="B43" s="82" t="s">
        <v>36</v>
      </c>
      <c r="C43" s="74"/>
      <c r="D43" s="74"/>
      <c r="E43" s="74"/>
      <c r="F43" s="74"/>
      <c r="G43" s="74"/>
      <c r="H43" s="75"/>
      <c r="I43" s="30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4.5" customHeight="1" x14ac:dyDescent="0.25">
      <c r="A44" s="29"/>
      <c r="B44" s="82" t="s">
        <v>39</v>
      </c>
      <c r="C44" s="83"/>
      <c r="D44" s="83"/>
      <c r="E44" s="83"/>
      <c r="F44" s="83"/>
      <c r="G44" s="83"/>
      <c r="H44" s="84"/>
      <c r="I44" s="30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thickBot="1" x14ac:dyDescent="0.3">
      <c r="A45" s="29"/>
      <c r="B45" s="76"/>
      <c r="C45" s="77"/>
      <c r="D45" s="77"/>
      <c r="E45" s="77"/>
      <c r="F45" s="77"/>
      <c r="G45" s="77"/>
      <c r="H45" s="78"/>
      <c r="I45" s="30"/>
      <c r="J45" s="2"/>
      <c r="K45" s="1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31"/>
      <c r="C46" s="31"/>
      <c r="D46" s="31"/>
      <c r="E46" s="31"/>
      <c r="F46" s="31"/>
      <c r="G46" s="31"/>
      <c r="H46" s="3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mergeCells count="8">
    <mergeCell ref="B44:H44"/>
    <mergeCell ref="B45:H45"/>
    <mergeCell ref="B7:H7"/>
    <mergeCell ref="B9:G9"/>
    <mergeCell ref="B40:H40"/>
    <mergeCell ref="B41:H41"/>
    <mergeCell ref="B42:H42"/>
    <mergeCell ref="B43:H43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9"/>
  <sheetViews>
    <sheetView topLeftCell="A7" zoomScaleNormal="10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31"/>
      <c r="B6" s="31"/>
      <c r="C6" s="31"/>
      <c r="D6" s="31"/>
      <c r="E6" s="31"/>
      <c r="F6" s="31"/>
      <c r="G6" s="31"/>
      <c r="H6" s="35" t="s">
        <v>48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31"/>
      <c r="B7" s="59" t="s">
        <v>45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1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31"/>
      <c r="B9" s="62" t="s">
        <v>49</v>
      </c>
      <c r="C9" s="63"/>
      <c r="D9" s="63"/>
      <c r="E9" s="63"/>
      <c r="F9" s="63"/>
      <c r="G9" s="63"/>
      <c r="H9" s="12">
        <v>5531.13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31"/>
      <c r="B10" s="22">
        <v>45414</v>
      </c>
      <c r="C10" s="13" t="s">
        <v>8</v>
      </c>
      <c r="D10" s="23">
        <v>32413.8</v>
      </c>
      <c r="E10" s="23">
        <f t="shared" ref="E10:E38" si="0">D10-F10</f>
        <v>24310.92</v>
      </c>
      <c r="F10" s="23">
        <v>8102.88</v>
      </c>
      <c r="G10" s="23">
        <f t="shared" ref="G10:G38" si="1">F10</f>
        <v>8102.88</v>
      </c>
      <c r="H10" s="12">
        <f t="shared" ref="H10:H33" si="2">H9+F10-G10</f>
        <v>5531.13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1"/>
      <c r="B11" s="22">
        <f t="shared" ref="B11:B31" si="3">B10+(MOD(B10,7)=6)*2+1</f>
        <v>45415</v>
      </c>
      <c r="C11" s="13" t="s">
        <v>8</v>
      </c>
      <c r="D11" s="23">
        <v>10225.67</v>
      </c>
      <c r="E11" s="23">
        <f t="shared" si="0"/>
        <v>7669.37</v>
      </c>
      <c r="F11" s="24">
        <v>2556.3000000000002</v>
      </c>
      <c r="G11" s="23">
        <f t="shared" si="1"/>
        <v>2556.3000000000002</v>
      </c>
      <c r="H11" s="12">
        <f t="shared" si="2"/>
        <v>5531.13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1"/>
      <c r="B12" s="22">
        <f t="shared" si="3"/>
        <v>45418</v>
      </c>
      <c r="C12" s="13" t="s">
        <v>8</v>
      </c>
      <c r="D12" s="23">
        <v>4682.8</v>
      </c>
      <c r="E12" s="23">
        <f t="shared" si="0"/>
        <v>3512.17</v>
      </c>
      <c r="F12" s="24">
        <v>1170.6300000000001</v>
      </c>
      <c r="G12" s="23">
        <f t="shared" si="1"/>
        <v>1170.6300000000001</v>
      </c>
      <c r="H12" s="12">
        <f t="shared" si="2"/>
        <v>5531.13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1"/>
      <c r="B13" s="22">
        <f t="shared" si="3"/>
        <v>45419</v>
      </c>
      <c r="C13" s="13" t="s">
        <v>8</v>
      </c>
      <c r="D13" s="23">
        <v>15389.48</v>
      </c>
      <c r="E13" s="23">
        <f t="shared" si="0"/>
        <v>11542.32</v>
      </c>
      <c r="F13" s="24">
        <v>3847.16</v>
      </c>
      <c r="G13" s="23">
        <f t="shared" si="1"/>
        <v>3847.16</v>
      </c>
      <c r="H13" s="12">
        <f t="shared" si="2"/>
        <v>5531.130000000001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1"/>
      <c r="B14" s="22">
        <f t="shared" si="3"/>
        <v>45420</v>
      </c>
      <c r="C14" s="13" t="s">
        <v>8</v>
      </c>
      <c r="D14" s="23">
        <v>10928.63</v>
      </c>
      <c r="E14" s="23">
        <f t="shared" si="0"/>
        <v>8196.6299999999992</v>
      </c>
      <c r="F14" s="24">
        <v>2732</v>
      </c>
      <c r="G14" s="23">
        <f t="shared" si="1"/>
        <v>2732</v>
      </c>
      <c r="H14" s="12">
        <f t="shared" si="2"/>
        <v>5531.130000000001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1"/>
      <c r="B15" s="22">
        <f t="shared" si="3"/>
        <v>45421</v>
      </c>
      <c r="C15" s="13" t="s">
        <v>8</v>
      </c>
      <c r="D15" s="23">
        <v>13145.41</v>
      </c>
      <c r="E15" s="23">
        <f t="shared" si="0"/>
        <v>9859.18</v>
      </c>
      <c r="F15" s="25">
        <v>3286.23</v>
      </c>
      <c r="G15" s="23">
        <f t="shared" si="1"/>
        <v>3286.23</v>
      </c>
      <c r="H15" s="12">
        <f t="shared" si="2"/>
        <v>5531.130000000001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1"/>
      <c r="B16" s="22">
        <f t="shared" si="3"/>
        <v>45422</v>
      </c>
      <c r="C16" s="13" t="s">
        <v>8</v>
      </c>
      <c r="D16" s="23">
        <v>8401.92</v>
      </c>
      <c r="E16" s="23">
        <f t="shared" si="0"/>
        <v>6301.54</v>
      </c>
      <c r="F16" s="25">
        <v>2100.38</v>
      </c>
      <c r="G16" s="23">
        <f t="shared" si="1"/>
        <v>2100.38</v>
      </c>
      <c r="H16" s="12">
        <f t="shared" si="2"/>
        <v>5531.130000000001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1"/>
      <c r="B17" s="22">
        <f t="shared" si="3"/>
        <v>45425</v>
      </c>
      <c r="C17" s="13" t="s">
        <v>8</v>
      </c>
      <c r="D17" s="23">
        <v>11495.27</v>
      </c>
      <c r="E17" s="23">
        <f t="shared" si="0"/>
        <v>8621.58</v>
      </c>
      <c r="F17" s="25">
        <v>2873.69</v>
      </c>
      <c r="G17" s="23">
        <f t="shared" si="1"/>
        <v>2873.69</v>
      </c>
      <c r="H17" s="12">
        <f t="shared" si="2"/>
        <v>5531.130000000001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1"/>
      <c r="B18" s="22">
        <f t="shared" si="3"/>
        <v>45426</v>
      </c>
      <c r="C18" s="13" t="s">
        <v>8</v>
      </c>
      <c r="D18" s="23">
        <v>13688.48</v>
      </c>
      <c r="E18" s="23">
        <f t="shared" si="0"/>
        <v>10266.52</v>
      </c>
      <c r="F18" s="25">
        <v>3421.96</v>
      </c>
      <c r="G18" s="23">
        <f t="shared" si="1"/>
        <v>3421.96</v>
      </c>
      <c r="H18" s="12">
        <f t="shared" si="2"/>
        <v>5531.13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1"/>
      <c r="B19" s="22">
        <f t="shared" si="3"/>
        <v>45427</v>
      </c>
      <c r="C19" s="13" t="s">
        <v>8</v>
      </c>
      <c r="D19" s="23">
        <v>5339.49</v>
      </c>
      <c r="E19" s="23">
        <f t="shared" si="0"/>
        <v>4004.6899999999996</v>
      </c>
      <c r="F19" s="25">
        <v>1334.8</v>
      </c>
      <c r="G19" s="23">
        <f t="shared" si="1"/>
        <v>1334.8</v>
      </c>
      <c r="H19" s="12">
        <f t="shared" si="2"/>
        <v>5531.13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1"/>
      <c r="B20" s="22">
        <f t="shared" si="3"/>
        <v>45428</v>
      </c>
      <c r="C20" s="13" t="s">
        <v>8</v>
      </c>
      <c r="D20" s="23">
        <v>7516.79</v>
      </c>
      <c r="E20" s="23">
        <f t="shared" si="0"/>
        <v>5637.7</v>
      </c>
      <c r="F20" s="25">
        <v>1879.09</v>
      </c>
      <c r="G20" s="23">
        <f t="shared" si="1"/>
        <v>1879.09</v>
      </c>
      <c r="H20" s="12">
        <f t="shared" si="2"/>
        <v>5531.13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31"/>
      <c r="B21" s="22">
        <f t="shared" si="3"/>
        <v>45429</v>
      </c>
      <c r="C21" s="13" t="s">
        <v>8</v>
      </c>
      <c r="D21" s="23">
        <v>7314.58</v>
      </c>
      <c r="E21" s="23">
        <f t="shared" si="0"/>
        <v>5485.99</v>
      </c>
      <c r="F21" s="25">
        <v>1828.59</v>
      </c>
      <c r="G21" s="23">
        <f t="shared" si="1"/>
        <v>1828.59</v>
      </c>
      <c r="H21" s="12">
        <f t="shared" si="2"/>
        <v>5531.13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31"/>
      <c r="B22" s="22">
        <f t="shared" si="3"/>
        <v>45432</v>
      </c>
      <c r="C22" s="13" t="s">
        <v>8</v>
      </c>
      <c r="D22" s="23">
        <v>8274.07</v>
      </c>
      <c r="E22" s="23">
        <f t="shared" si="0"/>
        <v>6205.61</v>
      </c>
      <c r="F22" s="25">
        <v>2068.46</v>
      </c>
      <c r="G22" s="23">
        <f t="shared" si="1"/>
        <v>2068.46</v>
      </c>
      <c r="H22" s="12">
        <f t="shared" si="2"/>
        <v>5531.13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31"/>
      <c r="B23" s="22">
        <f t="shared" si="3"/>
        <v>45433</v>
      </c>
      <c r="C23" s="13" t="s">
        <v>8</v>
      </c>
      <c r="D23" s="23">
        <v>16260.91</v>
      </c>
      <c r="E23" s="23">
        <f t="shared" si="0"/>
        <v>12195.85</v>
      </c>
      <c r="F23" s="25">
        <v>4065.06</v>
      </c>
      <c r="G23" s="23">
        <f t="shared" si="1"/>
        <v>4065.06</v>
      </c>
      <c r="H23" s="12">
        <f t="shared" si="2"/>
        <v>5531.130000000001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31"/>
      <c r="B24" s="22">
        <f t="shared" si="3"/>
        <v>45434</v>
      </c>
      <c r="C24" s="13" t="s">
        <v>8</v>
      </c>
      <c r="D24" s="23">
        <v>8285.48</v>
      </c>
      <c r="E24" s="23">
        <f t="shared" si="0"/>
        <v>6214.17</v>
      </c>
      <c r="F24" s="25">
        <v>2071.31</v>
      </c>
      <c r="G24" s="23">
        <f t="shared" si="1"/>
        <v>2071.31</v>
      </c>
      <c r="H24" s="12">
        <f t="shared" si="2"/>
        <v>5531.130000000001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31"/>
      <c r="B25" s="22">
        <f t="shared" si="3"/>
        <v>45435</v>
      </c>
      <c r="C25" s="13" t="s">
        <v>8</v>
      </c>
      <c r="D25" s="23">
        <v>11634.41</v>
      </c>
      <c r="E25" s="23">
        <f t="shared" si="0"/>
        <v>8725.8799999999992</v>
      </c>
      <c r="F25" s="25">
        <v>2908.53</v>
      </c>
      <c r="G25" s="23">
        <f t="shared" si="1"/>
        <v>2908.53</v>
      </c>
      <c r="H25" s="12">
        <f t="shared" si="2"/>
        <v>5531.130000000001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1"/>
      <c r="B26" s="22">
        <f t="shared" si="3"/>
        <v>45436</v>
      </c>
      <c r="C26" s="13" t="s">
        <v>8</v>
      </c>
      <c r="D26" s="23">
        <v>9186.7800000000007</v>
      </c>
      <c r="E26" s="23">
        <f t="shared" si="0"/>
        <v>6890.130000000001</v>
      </c>
      <c r="F26" s="25">
        <v>2296.65</v>
      </c>
      <c r="G26" s="23">
        <f t="shared" si="1"/>
        <v>2296.65</v>
      </c>
      <c r="H26" s="12">
        <f t="shared" si="2"/>
        <v>5531.130000000001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31"/>
      <c r="B27" s="22">
        <f t="shared" si="3"/>
        <v>45439</v>
      </c>
      <c r="C27" s="13" t="s">
        <v>8</v>
      </c>
      <c r="D27" s="23">
        <v>7566.34</v>
      </c>
      <c r="E27" s="23">
        <f t="shared" si="0"/>
        <v>5674.81</v>
      </c>
      <c r="F27" s="25">
        <v>1891.53</v>
      </c>
      <c r="G27" s="23">
        <f t="shared" si="1"/>
        <v>1891.53</v>
      </c>
      <c r="H27" s="12">
        <f t="shared" si="2"/>
        <v>5531.130000000001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31"/>
      <c r="B28" s="22">
        <f t="shared" si="3"/>
        <v>45440</v>
      </c>
      <c r="C28" s="13" t="s">
        <v>8</v>
      </c>
      <c r="D28" s="23">
        <v>29923.69</v>
      </c>
      <c r="E28" s="23">
        <f t="shared" si="0"/>
        <v>22442.949999999997</v>
      </c>
      <c r="F28" s="25">
        <v>7480.74</v>
      </c>
      <c r="G28" s="23">
        <f t="shared" si="1"/>
        <v>7480.74</v>
      </c>
      <c r="H28" s="12">
        <f t="shared" si="2"/>
        <v>5531.130000000001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32"/>
      <c r="B29" s="22">
        <f t="shared" si="3"/>
        <v>45441</v>
      </c>
      <c r="C29" s="13" t="s">
        <v>8</v>
      </c>
      <c r="D29" s="23">
        <v>26028.080000000002</v>
      </c>
      <c r="E29" s="23">
        <f t="shared" si="0"/>
        <v>19521.27</v>
      </c>
      <c r="F29" s="25">
        <v>6506.81</v>
      </c>
      <c r="G29" s="23">
        <f>F29</f>
        <v>6506.81</v>
      </c>
      <c r="H29" s="12">
        <f>H28+F29-G29</f>
        <v>5531.1300000000019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hidden="1" customHeight="1" x14ac:dyDescent="0.25">
      <c r="A30" s="32"/>
      <c r="B30" s="22">
        <f t="shared" si="3"/>
        <v>45442</v>
      </c>
      <c r="C30" s="13" t="s">
        <v>33</v>
      </c>
      <c r="D30" s="23"/>
      <c r="E30" s="23">
        <f t="shared" si="0"/>
        <v>0</v>
      </c>
      <c r="F30" s="25"/>
      <c r="G30" s="23">
        <f>F30</f>
        <v>0</v>
      </c>
      <c r="H30" s="12">
        <f>H29+F30-G30</f>
        <v>5531.1300000000019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hidden="1" customHeight="1" x14ac:dyDescent="0.25">
      <c r="A31" s="32"/>
      <c r="B31" s="22">
        <f t="shared" si="3"/>
        <v>45443</v>
      </c>
      <c r="C31" s="13" t="s">
        <v>34</v>
      </c>
      <c r="D31" s="23">
        <v>49094.48</v>
      </c>
      <c r="E31" s="23">
        <f t="shared" si="0"/>
        <v>36821.170000000006</v>
      </c>
      <c r="F31" s="25">
        <v>12273.31</v>
      </c>
      <c r="G31" s="23">
        <f>F31</f>
        <v>12273.31</v>
      </c>
      <c r="H31" s="12">
        <f>H30+F31-G31</f>
        <v>5531.1300000000028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x14ac:dyDescent="0.25">
      <c r="A32" s="32" t="s">
        <v>12</v>
      </c>
      <c r="B32" s="22">
        <v>45421</v>
      </c>
      <c r="C32" s="13" t="s">
        <v>11</v>
      </c>
      <c r="D32" s="33">
        <v>-5177.04</v>
      </c>
      <c r="E32" s="33">
        <f>D32-F32</f>
        <v>-3882.7799999999997</v>
      </c>
      <c r="F32" s="34">
        <v>-1294.26</v>
      </c>
      <c r="G32" s="23">
        <v>0</v>
      </c>
      <c r="H32" s="12">
        <f>H31+F32-G32</f>
        <v>4236.8700000000026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2" t="s">
        <v>13</v>
      </c>
      <c r="B33" s="22">
        <v>45432</v>
      </c>
      <c r="C33" s="27" t="s">
        <v>11</v>
      </c>
      <c r="D33" s="23"/>
      <c r="E33" s="23">
        <f t="shared" si="0"/>
        <v>0</v>
      </c>
      <c r="F33" s="25"/>
      <c r="G33" s="23">
        <v>2591.2600000000002</v>
      </c>
      <c r="H33" s="12">
        <f t="shared" si="2"/>
        <v>1645.6100000000024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32" t="s">
        <v>37</v>
      </c>
      <c r="B34" s="22">
        <v>45432</v>
      </c>
      <c r="C34" s="27" t="s">
        <v>11</v>
      </c>
      <c r="D34" s="33"/>
      <c r="E34" s="28">
        <f>D34-F34</f>
        <v>0</v>
      </c>
      <c r="F34" s="33"/>
      <c r="G34" s="23">
        <v>2939.87</v>
      </c>
      <c r="H34" s="12">
        <f>H33+F34-G34</f>
        <v>-1294.2599999999975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hidden="1" customHeight="1" x14ac:dyDescent="0.25">
      <c r="A35" s="32"/>
      <c r="B35" s="22">
        <v>45432</v>
      </c>
      <c r="C35" s="27" t="s">
        <v>11</v>
      </c>
      <c r="D35" s="23"/>
      <c r="E35" s="23">
        <f t="shared" si="0"/>
        <v>0</v>
      </c>
      <c r="F35" s="25"/>
      <c r="G35" s="23">
        <v>0</v>
      </c>
      <c r="H35" s="12">
        <f>H34+F35-G35</f>
        <v>-1294.2599999999975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hidden="1" customHeight="1" x14ac:dyDescent="0.25">
      <c r="A36" s="31"/>
      <c r="B36" s="22">
        <f>B35+(MOD(B35,7)=6)*2+1</f>
        <v>45433</v>
      </c>
      <c r="C36" s="27" t="s">
        <v>11</v>
      </c>
      <c r="D36" s="23"/>
      <c r="E36" s="23">
        <f t="shared" si="0"/>
        <v>0</v>
      </c>
      <c r="F36" s="25">
        <v>0</v>
      </c>
      <c r="G36" s="23">
        <f t="shared" si="1"/>
        <v>0</v>
      </c>
      <c r="H36" s="12">
        <f>H35+F36-G36</f>
        <v>-1294.2599999999975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hidden="1" customHeight="1" x14ac:dyDescent="0.25">
      <c r="A37" s="31"/>
      <c r="B37" s="22">
        <f>B36+(MOD(B36,7)=6)*2+1</f>
        <v>45434</v>
      </c>
      <c r="C37" s="27" t="s">
        <v>11</v>
      </c>
      <c r="D37" s="23"/>
      <c r="E37" s="23">
        <f t="shared" si="0"/>
        <v>0</v>
      </c>
      <c r="F37" s="25">
        <v>0</v>
      </c>
      <c r="G37" s="23">
        <f t="shared" si="1"/>
        <v>0</v>
      </c>
      <c r="H37" s="12">
        <f>H36+F37-G37</f>
        <v>-1294.2599999999975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hidden="1" customHeight="1" x14ac:dyDescent="0.25">
      <c r="A38" s="31"/>
      <c r="B38" s="22">
        <f>B37+(MOD(B37,7)=6)*2+1</f>
        <v>45435</v>
      </c>
      <c r="C38" s="27" t="s">
        <v>11</v>
      </c>
      <c r="D38" s="23"/>
      <c r="E38" s="23">
        <f t="shared" si="0"/>
        <v>0</v>
      </c>
      <c r="F38" s="25">
        <f>D38*25%</f>
        <v>0</v>
      </c>
      <c r="G38" s="23">
        <f t="shared" si="1"/>
        <v>0</v>
      </c>
      <c r="H38" s="12">
        <f>H37+F38-G38</f>
        <v>-1294.2599999999975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31"/>
      <c r="B39" s="18" t="s">
        <v>9</v>
      </c>
      <c r="C39" s="19"/>
      <c r="D39" s="20">
        <f>SUM(D10:D38)</f>
        <v>301619.52</v>
      </c>
      <c r="E39" s="20">
        <f>SUM(E10:E38)</f>
        <v>226217.67</v>
      </c>
      <c r="F39" s="20">
        <f>SUM(F10:F38)</f>
        <v>75401.849999999991</v>
      </c>
      <c r="G39" s="14">
        <f>SUM(G10:G32)</f>
        <v>76696.109999999986</v>
      </c>
      <c r="H39" s="12">
        <f>+H38</f>
        <v>-1294.2599999999975</v>
      </c>
      <c r="I39" s="1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31"/>
      <c r="B40" s="79" t="s">
        <v>10</v>
      </c>
      <c r="C40" s="80"/>
      <c r="D40" s="80"/>
      <c r="E40" s="80"/>
      <c r="F40" s="80"/>
      <c r="G40" s="80"/>
      <c r="H40" s="81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31"/>
      <c r="B41" s="73" t="s">
        <v>41</v>
      </c>
      <c r="C41" s="68"/>
      <c r="D41" s="68"/>
      <c r="E41" s="68"/>
      <c r="F41" s="68"/>
      <c r="G41" s="68"/>
      <c r="H41" s="75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2.25" customHeight="1" x14ac:dyDescent="0.25">
      <c r="A42" s="31"/>
      <c r="B42" s="82" t="s">
        <v>40</v>
      </c>
      <c r="C42" s="68"/>
      <c r="D42" s="68"/>
      <c r="E42" s="68"/>
      <c r="F42" s="68"/>
      <c r="G42" s="68"/>
      <c r="H42" s="75"/>
      <c r="I42" s="30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9.25" customHeight="1" x14ac:dyDescent="0.25">
      <c r="A43" s="31"/>
      <c r="B43" s="82" t="s">
        <v>43</v>
      </c>
      <c r="C43" s="68"/>
      <c r="D43" s="68"/>
      <c r="E43" s="68"/>
      <c r="F43" s="68"/>
      <c r="G43" s="68"/>
      <c r="H43" s="75"/>
      <c r="I43" s="30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0" customHeight="1" x14ac:dyDescent="0.25">
      <c r="A44" s="31"/>
      <c r="B44" s="82" t="s">
        <v>42</v>
      </c>
      <c r="C44" s="85"/>
      <c r="D44" s="85"/>
      <c r="E44" s="85"/>
      <c r="F44" s="85"/>
      <c r="G44" s="85"/>
      <c r="H44" s="84"/>
      <c r="I44" s="30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thickBot="1" x14ac:dyDescent="0.3">
      <c r="A45" s="31"/>
      <c r="B45" s="76"/>
      <c r="C45" s="77"/>
      <c r="D45" s="77"/>
      <c r="E45" s="77"/>
      <c r="F45" s="77"/>
      <c r="G45" s="77"/>
      <c r="H45" s="78"/>
      <c r="I45" s="30"/>
      <c r="J45" s="2"/>
      <c r="K45" s="1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31"/>
      <c r="C46" s="31"/>
      <c r="D46" s="31"/>
      <c r="E46" s="31"/>
      <c r="F46" s="31"/>
      <c r="G46" s="31"/>
      <c r="H46" s="3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mergeCells count="8">
    <mergeCell ref="B44:H44"/>
    <mergeCell ref="B45:H45"/>
    <mergeCell ref="B7:H7"/>
    <mergeCell ref="B9:G9"/>
    <mergeCell ref="B40:H40"/>
    <mergeCell ref="B41:H41"/>
    <mergeCell ref="B42:H42"/>
    <mergeCell ref="B43:H43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9"/>
  <sheetViews>
    <sheetView topLeftCell="A7" zoomScaleNormal="10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46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57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47</v>
      </c>
      <c r="C9" s="63"/>
      <c r="D9" s="63"/>
      <c r="E9" s="63"/>
      <c r="F9" s="63"/>
      <c r="G9" s="63"/>
      <c r="H9" s="12">
        <v>-1294.26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45446</v>
      </c>
      <c r="C10" s="13" t="s">
        <v>8</v>
      </c>
      <c r="D10" s="23">
        <v>307186.84000000003</v>
      </c>
      <c r="E10" s="23">
        <f t="shared" ref="E10:E38" si="0">D10-F10</f>
        <v>230391.69000000003</v>
      </c>
      <c r="F10" s="23">
        <v>76795.149999999994</v>
      </c>
      <c r="G10" s="23">
        <f t="shared" ref="G10:G38" si="1">F10</f>
        <v>76795.149999999994</v>
      </c>
      <c r="H10" s="12">
        <f t="shared" ref="H10:H33" si="2">H9+F10-G10</f>
        <v>-1294.2599999999948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1" si="3">B10+(MOD(B10,7)=6)*2+1</f>
        <v>45447</v>
      </c>
      <c r="C11" s="13" t="s">
        <v>8</v>
      </c>
      <c r="D11" s="23">
        <v>20835.5</v>
      </c>
      <c r="E11" s="23">
        <f t="shared" si="0"/>
        <v>15626.720000000001</v>
      </c>
      <c r="F11" s="24">
        <v>5208.78</v>
      </c>
      <c r="G11" s="23">
        <f t="shared" si="1"/>
        <v>5208.78</v>
      </c>
      <c r="H11" s="12">
        <f t="shared" si="2"/>
        <v>-1294.2599999999948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3"/>
        <v>45448</v>
      </c>
      <c r="C12" s="13" t="s">
        <v>8</v>
      </c>
      <c r="D12" s="23">
        <v>11111.01</v>
      </c>
      <c r="E12" s="23">
        <f t="shared" si="0"/>
        <v>8333.3100000000013</v>
      </c>
      <c r="F12" s="24">
        <v>2777.7</v>
      </c>
      <c r="G12" s="23">
        <f t="shared" si="1"/>
        <v>2777.7</v>
      </c>
      <c r="H12" s="12">
        <f t="shared" si="2"/>
        <v>-1294.2599999999948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3"/>
        <v>45449</v>
      </c>
      <c r="C13" s="13" t="s">
        <v>8</v>
      </c>
      <c r="D13" s="23">
        <v>10021.76</v>
      </c>
      <c r="E13" s="23">
        <f t="shared" si="0"/>
        <v>7516.39</v>
      </c>
      <c r="F13" s="24">
        <v>2505.37</v>
      </c>
      <c r="G13" s="23">
        <f t="shared" si="1"/>
        <v>2505.37</v>
      </c>
      <c r="H13" s="12">
        <f t="shared" si="2"/>
        <v>-1294.2599999999948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3"/>
        <v>45450</v>
      </c>
      <c r="C14" s="13" t="s">
        <v>8</v>
      </c>
      <c r="D14" s="23">
        <v>9170.51</v>
      </c>
      <c r="E14" s="23">
        <f t="shared" si="0"/>
        <v>6877.93</v>
      </c>
      <c r="F14" s="24">
        <v>2292.58</v>
      </c>
      <c r="G14" s="23">
        <f t="shared" si="1"/>
        <v>2292.58</v>
      </c>
      <c r="H14" s="12">
        <f t="shared" si="2"/>
        <v>-1294.2599999999948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3"/>
        <v>45453</v>
      </c>
      <c r="C15" s="13" t="s">
        <v>8</v>
      </c>
      <c r="D15" s="23">
        <v>9768.08</v>
      </c>
      <c r="E15" s="23">
        <f t="shared" si="0"/>
        <v>7326.09</v>
      </c>
      <c r="F15" s="25">
        <v>2441.9899999999998</v>
      </c>
      <c r="G15" s="23">
        <f t="shared" si="1"/>
        <v>2441.9899999999998</v>
      </c>
      <c r="H15" s="12">
        <f t="shared" si="2"/>
        <v>-1294.2599999999948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3"/>
        <v>45454</v>
      </c>
      <c r="C16" s="13" t="s">
        <v>8</v>
      </c>
      <c r="D16" s="23">
        <v>14647.49</v>
      </c>
      <c r="E16" s="23">
        <f t="shared" si="0"/>
        <v>10985.689999999999</v>
      </c>
      <c r="F16" s="25">
        <v>3661.8</v>
      </c>
      <c r="G16" s="23">
        <f t="shared" si="1"/>
        <v>3661.8</v>
      </c>
      <c r="H16" s="12">
        <f t="shared" si="2"/>
        <v>-1294.2599999999948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3"/>
        <v>45455</v>
      </c>
      <c r="C17" s="13" t="s">
        <v>8</v>
      </c>
      <c r="D17" s="23">
        <v>4161.03</v>
      </c>
      <c r="E17" s="23">
        <f t="shared" si="0"/>
        <v>3120.7999999999997</v>
      </c>
      <c r="F17" s="25">
        <v>1040.23</v>
      </c>
      <c r="G17" s="23">
        <f t="shared" si="1"/>
        <v>1040.23</v>
      </c>
      <c r="H17" s="12">
        <f t="shared" si="2"/>
        <v>-1294.2599999999948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3"/>
        <v>45456</v>
      </c>
      <c r="C18" s="13" t="s">
        <v>8</v>
      </c>
      <c r="D18" s="23">
        <v>3894.52</v>
      </c>
      <c r="E18" s="23">
        <f t="shared" si="0"/>
        <v>2920.93</v>
      </c>
      <c r="F18" s="25">
        <v>973.59</v>
      </c>
      <c r="G18" s="23">
        <f t="shared" si="1"/>
        <v>973.59</v>
      </c>
      <c r="H18" s="12">
        <f t="shared" si="2"/>
        <v>-1294.2599999999948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3"/>
        <v>45457</v>
      </c>
      <c r="C19" s="13" t="s">
        <v>8</v>
      </c>
      <c r="D19" s="23">
        <v>10770.81</v>
      </c>
      <c r="E19" s="23">
        <f t="shared" si="0"/>
        <v>8078.16</v>
      </c>
      <c r="F19" s="25">
        <v>2692.65</v>
      </c>
      <c r="G19" s="23">
        <f t="shared" si="1"/>
        <v>2692.65</v>
      </c>
      <c r="H19" s="12">
        <f t="shared" si="2"/>
        <v>-1294.2599999999948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3"/>
        <v>45460</v>
      </c>
      <c r="C20" s="13" t="s">
        <v>8</v>
      </c>
      <c r="D20" s="23">
        <v>4619.8500000000004</v>
      </c>
      <c r="E20" s="23">
        <f t="shared" si="0"/>
        <v>3464.92</v>
      </c>
      <c r="F20" s="25">
        <v>1154.93</v>
      </c>
      <c r="G20" s="23">
        <f t="shared" si="1"/>
        <v>1154.93</v>
      </c>
      <c r="H20" s="12">
        <f t="shared" si="2"/>
        <v>-1294.2599999999948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3"/>
        <v>45461</v>
      </c>
      <c r="C21" s="13" t="s">
        <v>8</v>
      </c>
      <c r="D21" s="23">
        <v>6862.14</v>
      </c>
      <c r="E21" s="23">
        <f t="shared" si="0"/>
        <v>5146.6500000000005</v>
      </c>
      <c r="F21" s="25">
        <v>1715.49</v>
      </c>
      <c r="G21" s="23">
        <f t="shared" si="1"/>
        <v>1715.49</v>
      </c>
      <c r="H21" s="12">
        <f t="shared" si="2"/>
        <v>-1294.2599999999948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3"/>
        <v>45462</v>
      </c>
      <c r="C22" s="13" t="s">
        <v>8</v>
      </c>
      <c r="D22" s="23">
        <v>3621.02</v>
      </c>
      <c r="E22" s="23">
        <f t="shared" si="0"/>
        <v>2715.77</v>
      </c>
      <c r="F22" s="25">
        <v>905.25</v>
      </c>
      <c r="G22" s="23">
        <f t="shared" si="1"/>
        <v>905.25</v>
      </c>
      <c r="H22" s="12">
        <f t="shared" si="2"/>
        <v>-1294.2599999999948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3"/>
        <v>45463</v>
      </c>
      <c r="C23" s="13" t="s">
        <v>8</v>
      </c>
      <c r="D23" s="23">
        <v>5465.92</v>
      </c>
      <c r="E23" s="23">
        <f t="shared" si="0"/>
        <v>4099.47</v>
      </c>
      <c r="F23" s="25">
        <v>1366.45</v>
      </c>
      <c r="G23" s="23">
        <f t="shared" si="1"/>
        <v>1366.45</v>
      </c>
      <c r="H23" s="12">
        <f t="shared" si="2"/>
        <v>-1294.2599999999948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3"/>
        <v>45464</v>
      </c>
      <c r="C24" s="13" t="s">
        <v>8</v>
      </c>
      <c r="D24" s="23">
        <v>14626.42</v>
      </c>
      <c r="E24" s="23">
        <f t="shared" si="0"/>
        <v>10969.869999999999</v>
      </c>
      <c r="F24" s="25">
        <v>3656.55</v>
      </c>
      <c r="G24" s="23">
        <f t="shared" si="1"/>
        <v>3656.55</v>
      </c>
      <c r="H24" s="12">
        <f t="shared" si="2"/>
        <v>-1294.2599999999948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3"/>
        <v>45467</v>
      </c>
      <c r="C25" s="13" t="s">
        <v>8</v>
      </c>
      <c r="D25" s="23">
        <v>10078.33</v>
      </c>
      <c r="E25" s="23">
        <f t="shared" si="0"/>
        <v>7558.7999999999993</v>
      </c>
      <c r="F25" s="25">
        <v>2519.5300000000002</v>
      </c>
      <c r="G25" s="23">
        <f t="shared" si="1"/>
        <v>2519.5300000000002</v>
      </c>
      <c r="H25" s="12">
        <f t="shared" si="2"/>
        <v>-1294.2599999999948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3"/>
        <v>45468</v>
      </c>
      <c r="C26" s="13" t="s">
        <v>8</v>
      </c>
      <c r="D26" s="23">
        <v>8759.0400000000009</v>
      </c>
      <c r="E26" s="23">
        <f t="shared" si="0"/>
        <v>6569.3300000000008</v>
      </c>
      <c r="F26" s="25">
        <v>2189.71</v>
      </c>
      <c r="G26" s="23">
        <f t="shared" si="1"/>
        <v>2189.71</v>
      </c>
      <c r="H26" s="12">
        <f t="shared" si="2"/>
        <v>-1294.2599999999948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3"/>
        <v>45469</v>
      </c>
      <c r="C27" s="13" t="s">
        <v>8</v>
      </c>
      <c r="D27" s="23">
        <v>7421.03</v>
      </c>
      <c r="E27" s="23">
        <f t="shared" si="0"/>
        <v>5565.84</v>
      </c>
      <c r="F27" s="25">
        <v>1855.19</v>
      </c>
      <c r="G27" s="23">
        <f t="shared" si="1"/>
        <v>1855.19</v>
      </c>
      <c r="H27" s="12">
        <f t="shared" si="2"/>
        <v>-1294.2599999999948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3"/>
        <v>45470</v>
      </c>
      <c r="C28" s="13" t="s">
        <v>8</v>
      </c>
      <c r="D28" s="23">
        <v>5612.26</v>
      </c>
      <c r="E28" s="23">
        <f t="shared" si="0"/>
        <v>4209.25</v>
      </c>
      <c r="F28" s="25">
        <v>1403.01</v>
      </c>
      <c r="G28" s="23">
        <f t="shared" si="1"/>
        <v>1403.01</v>
      </c>
      <c r="H28" s="12">
        <f t="shared" si="2"/>
        <v>-1294.2599999999948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3"/>
        <v>45471</v>
      </c>
      <c r="C29" s="13" t="s">
        <v>8</v>
      </c>
      <c r="D29" s="23">
        <v>11166.69</v>
      </c>
      <c r="E29" s="23">
        <f>D29-F29</f>
        <v>8375.0600000000013</v>
      </c>
      <c r="F29" s="25">
        <v>2791.63</v>
      </c>
      <c r="G29" s="23">
        <f>F29</f>
        <v>2791.63</v>
      </c>
      <c r="H29" s="12">
        <f>H28+F29-G29</f>
        <v>-1294.2599999999948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hidden="1" customHeight="1" x14ac:dyDescent="0.25">
      <c r="A30" s="32"/>
      <c r="B30" s="22">
        <f t="shared" si="3"/>
        <v>45474</v>
      </c>
      <c r="C30" s="13" t="s">
        <v>8</v>
      </c>
      <c r="D30" s="23"/>
      <c r="E30" s="23">
        <f t="shared" si="0"/>
        <v>0</v>
      </c>
      <c r="F30" s="25"/>
      <c r="G30" s="23">
        <f>F30</f>
        <v>0</v>
      </c>
      <c r="H30" s="12">
        <f>H29+F30-G30</f>
        <v>-1294.2599999999948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hidden="1" customHeight="1" x14ac:dyDescent="0.25">
      <c r="A31" s="32"/>
      <c r="B31" s="22">
        <f t="shared" si="3"/>
        <v>45475</v>
      </c>
      <c r="C31" s="13" t="s">
        <v>8</v>
      </c>
      <c r="D31" s="23">
        <v>0</v>
      </c>
      <c r="E31" s="23">
        <f t="shared" si="0"/>
        <v>0</v>
      </c>
      <c r="F31" s="25">
        <v>0</v>
      </c>
      <c r="G31" s="23">
        <f>F31</f>
        <v>0</v>
      </c>
      <c r="H31" s="12">
        <f>H30+F31-G31</f>
        <v>-1294.2599999999948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x14ac:dyDescent="0.25">
      <c r="A32" s="26" t="s">
        <v>12</v>
      </c>
      <c r="B32" s="22">
        <v>45471</v>
      </c>
      <c r="C32" s="13" t="s">
        <v>11</v>
      </c>
      <c r="D32" s="23">
        <v>21187.97</v>
      </c>
      <c r="E32" s="23">
        <f>D32-F32</f>
        <v>15890.980000000001</v>
      </c>
      <c r="F32" s="25">
        <v>5296.99</v>
      </c>
      <c r="G32" s="23">
        <v>0</v>
      </c>
      <c r="H32" s="12">
        <f>H31+F32-G32</f>
        <v>4002.730000000005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idden="1" x14ac:dyDescent="0.25">
      <c r="A33" s="26"/>
      <c r="B33" s="22"/>
      <c r="C33" s="27"/>
      <c r="D33" s="23"/>
      <c r="E33" s="23"/>
      <c r="F33" s="25"/>
      <c r="G33" s="23"/>
      <c r="H33" s="12">
        <f t="shared" si="2"/>
        <v>4002.730000000005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idden="1" x14ac:dyDescent="0.25">
      <c r="A34" s="26"/>
      <c r="B34" s="22"/>
      <c r="C34" s="27"/>
      <c r="D34" s="33"/>
      <c r="E34" s="28"/>
      <c r="F34" s="33"/>
      <c r="G34" s="23"/>
      <c r="H34" s="12">
        <f>H33+F34-G34</f>
        <v>4002.730000000005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idden="1" x14ac:dyDescent="0.25">
      <c r="A35" s="26"/>
      <c r="B35" s="22">
        <v>45432</v>
      </c>
      <c r="C35" s="27" t="s">
        <v>11</v>
      </c>
      <c r="D35" s="23"/>
      <c r="E35" s="23">
        <f t="shared" si="0"/>
        <v>0</v>
      </c>
      <c r="F35" s="25"/>
      <c r="G35" s="23">
        <v>0</v>
      </c>
      <c r="H35" s="12">
        <f>H34+F35-G35</f>
        <v>4002.730000000005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idden="1" x14ac:dyDescent="0.25">
      <c r="A36" s="2"/>
      <c r="B36" s="22">
        <f>B35+(MOD(B35,7)=6)*2+1</f>
        <v>45433</v>
      </c>
      <c r="C36" s="27" t="s">
        <v>11</v>
      </c>
      <c r="D36" s="23"/>
      <c r="E36" s="23">
        <f t="shared" si="0"/>
        <v>0</v>
      </c>
      <c r="F36" s="25">
        <v>0</v>
      </c>
      <c r="G36" s="23">
        <f t="shared" si="1"/>
        <v>0</v>
      </c>
      <c r="H36" s="12">
        <f>H35+F36-G36</f>
        <v>4002.730000000005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idden="1" x14ac:dyDescent="0.25">
      <c r="A37" s="2"/>
      <c r="B37" s="22">
        <f>B36+(MOD(B36,7)=6)*2+1</f>
        <v>45434</v>
      </c>
      <c r="C37" s="27" t="s">
        <v>11</v>
      </c>
      <c r="D37" s="23"/>
      <c r="E37" s="23">
        <f t="shared" si="0"/>
        <v>0</v>
      </c>
      <c r="F37" s="25">
        <v>0</v>
      </c>
      <c r="G37" s="23">
        <f t="shared" si="1"/>
        <v>0</v>
      </c>
      <c r="H37" s="12">
        <f>H36+F37-G37</f>
        <v>4002.730000000005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idden="1" x14ac:dyDescent="0.25">
      <c r="A38" s="2"/>
      <c r="B38" s="22">
        <f>B37+(MOD(B37,7)=6)*2+1</f>
        <v>45435</v>
      </c>
      <c r="C38" s="27" t="s">
        <v>11</v>
      </c>
      <c r="D38" s="23"/>
      <c r="E38" s="23">
        <f t="shared" si="0"/>
        <v>0</v>
      </c>
      <c r="F38" s="25">
        <f>D38*25%</f>
        <v>0</v>
      </c>
      <c r="G38" s="23">
        <f t="shared" si="1"/>
        <v>0</v>
      </c>
      <c r="H38" s="12">
        <f>H37+F38-G38</f>
        <v>4002.730000000005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18" t="s">
        <v>9</v>
      </c>
      <c r="C39" s="19"/>
      <c r="D39" s="20">
        <f>SUM(D10:D38)</f>
        <v>500988.22000000009</v>
      </c>
      <c r="E39" s="20">
        <f>SUM(E10:E38)</f>
        <v>375743.65</v>
      </c>
      <c r="F39" s="20">
        <f>SUM(F10:F38)</f>
        <v>125244.56999999999</v>
      </c>
      <c r="G39" s="14">
        <f>SUM(G10:G32)</f>
        <v>119947.57999999999</v>
      </c>
      <c r="H39" s="12">
        <f>+H38</f>
        <v>4002.730000000005</v>
      </c>
      <c r="I39" s="1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9"/>
      <c r="B40" s="79" t="s">
        <v>10</v>
      </c>
      <c r="C40" s="80"/>
      <c r="D40" s="80"/>
      <c r="E40" s="80"/>
      <c r="F40" s="80"/>
      <c r="G40" s="80"/>
      <c r="H40" s="81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9"/>
      <c r="B41" s="73" t="s">
        <v>51</v>
      </c>
      <c r="C41" s="74"/>
      <c r="D41" s="74"/>
      <c r="E41" s="74"/>
      <c r="F41" s="74"/>
      <c r="G41" s="74"/>
      <c r="H41" s="75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2.25" customHeight="1" x14ac:dyDescent="0.25">
      <c r="A42" s="29"/>
      <c r="B42" s="82" t="s">
        <v>50</v>
      </c>
      <c r="C42" s="74"/>
      <c r="D42" s="74"/>
      <c r="E42" s="74"/>
      <c r="F42" s="74"/>
      <c r="G42" s="74"/>
      <c r="H42" s="75"/>
      <c r="I42" s="30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9.25" customHeight="1" x14ac:dyDescent="0.25">
      <c r="A43" s="29"/>
      <c r="B43" s="82"/>
      <c r="C43" s="74"/>
      <c r="D43" s="74"/>
      <c r="E43" s="74"/>
      <c r="F43" s="74"/>
      <c r="G43" s="74"/>
      <c r="H43" s="75"/>
      <c r="I43" s="30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0" customHeight="1" x14ac:dyDescent="0.25">
      <c r="A44" s="29"/>
      <c r="B44" s="82"/>
      <c r="C44" s="83"/>
      <c r="D44" s="83"/>
      <c r="E44" s="83"/>
      <c r="F44" s="83"/>
      <c r="G44" s="83"/>
      <c r="H44" s="84"/>
      <c r="I44" s="30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thickBot="1" x14ac:dyDescent="0.3">
      <c r="A45" s="29"/>
      <c r="B45" s="76"/>
      <c r="C45" s="77"/>
      <c r="D45" s="77"/>
      <c r="E45" s="77"/>
      <c r="F45" s="77"/>
      <c r="G45" s="77"/>
      <c r="H45" s="78"/>
      <c r="I45" s="30"/>
      <c r="J45" s="2"/>
      <c r="K45" s="1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31"/>
      <c r="C46" s="31"/>
      <c r="D46" s="31"/>
      <c r="E46" s="31"/>
      <c r="F46" s="31"/>
      <c r="G46" s="31"/>
      <c r="H46" s="3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mergeCells count="8">
    <mergeCell ref="B44:H44"/>
    <mergeCell ref="B45:H45"/>
    <mergeCell ref="B7:H7"/>
    <mergeCell ref="B9:G9"/>
    <mergeCell ref="B40:H40"/>
    <mergeCell ref="B41:H41"/>
    <mergeCell ref="B42:H42"/>
    <mergeCell ref="B43:H43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6"/>
  <sheetViews>
    <sheetView topLeftCell="A19" zoomScale="120" zoomScaleNormal="12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52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58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53</v>
      </c>
      <c r="C9" s="63"/>
      <c r="D9" s="63"/>
      <c r="E9" s="63"/>
      <c r="F9" s="63"/>
      <c r="G9" s="63"/>
      <c r="H9" s="12">
        <v>4002.73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45474</v>
      </c>
      <c r="C10" s="13" t="s">
        <v>8</v>
      </c>
      <c r="D10" s="23">
        <v>10194.09</v>
      </c>
      <c r="E10" s="23">
        <f t="shared" ref="E10:E35" si="0">D10-F10</f>
        <v>7645.6200000000008</v>
      </c>
      <c r="F10" s="23">
        <v>2548.4699999999998</v>
      </c>
      <c r="G10" s="23">
        <f t="shared" ref="G10:G35" si="1">F10</f>
        <v>2548.4699999999998</v>
      </c>
      <c r="H10" s="12">
        <f t="shared" ref="H10:H28" si="2">H9+F10-G10</f>
        <v>4002.73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3">B10+(MOD(B10,7)=6)*2+1</f>
        <v>45475</v>
      </c>
      <c r="C11" s="13" t="s">
        <v>8</v>
      </c>
      <c r="D11" s="23">
        <v>20685.54</v>
      </c>
      <c r="E11" s="23">
        <f t="shared" si="0"/>
        <v>15514.310000000001</v>
      </c>
      <c r="F11" s="24">
        <v>5171.2299999999996</v>
      </c>
      <c r="G11" s="23">
        <f t="shared" si="1"/>
        <v>5171.2299999999996</v>
      </c>
      <c r="H11" s="12">
        <f t="shared" si="2"/>
        <v>4002.7299999999996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3"/>
        <v>45476</v>
      </c>
      <c r="C12" s="13" t="s">
        <v>8</v>
      </c>
      <c r="D12" s="23">
        <v>5064.1400000000003</v>
      </c>
      <c r="E12" s="23">
        <f t="shared" si="0"/>
        <v>3798.13</v>
      </c>
      <c r="F12" s="24">
        <v>1266.01</v>
      </c>
      <c r="G12" s="23">
        <f t="shared" si="1"/>
        <v>1266.01</v>
      </c>
      <c r="H12" s="12">
        <f t="shared" si="2"/>
        <v>4002.7299999999996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3"/>
        <v>45477</v>
      </c>
      <c r="C13" s="13" t="s">
        <v>8</v>
      </c>
      <c r="D13" s="23">
        <v>4551.37</v>
      </c>
      <c r="E13" s="23">
        <f t="shared" si="0"/>
        <v>3413.58</v>
      </c>
      <c r="F13" s="24">
        <v>1137.79</v>
      </c>
      <c r="G13" s="23">
        <f t="shared" si="1"/>
        <v>1137.79</v>
      </c>
      <c r="H13" s="12">
        <f t="shared" si="2"/>
        <v>4002.7299999999996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3"/>
        <v>45478</v>
      </c>
      <c r="C14" s="13" t="s">
        <v>8</v>
      </c>
      <c r="D14" s="23">
        <v>6171.1</v>
      </c>
      <c r="E14" s="23">
        <f t="shared" si="0"/>
        <v>4628.3700000000008</v>
      </c>
      <c r="F14" s="24">
        <v>1542.73</v>
      </c>
      <c r="G14" s="23">
        <f t="shared" si="1"/>
        <v>1542.73</v>
      </c>
      <c r="H14" s="12">
        <f t="shared" si="2"/>
        <v>4002.7299999999991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3"/>
        <v>45481</v>
      </c>
      <c r="C15" s="13" t="s">
        <v>8</v>
      </c>
      <c r="D15" s="23">
        <v>7828.79</v>
      </c>
      <c r="E15" s="23">
        <f t="shared" si="0"/>
        <v>5871.6399999999994</v>
      </c>
      <c r="F15" s="25">
        <v>1957.15</v>
      </c>
      <c r="G15" s="23">
        <f t="shared" si="1"/>
        <v>1957.15</v>
      </c>
      <c r="H15" s="12">
        <f t="shared" si="2"/>
        <v>4002.7299999999991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3"/>
        <v>45482</v>
      </c>
      <c r="C16" s="13" t="s">
        <v>8</v>
      </c>
      <c r="D16" s="23">
        <v>8343.85</v>
      </c>
      <c r="E16" s="23">
        <f t="shared" si="0"/>
        <v>6257.97</v>
      </c>
      <c r="F16" s="25">
        <v>2085.88</v>
      </c>
      <c r="G16" s="23">
        <f t="shared" si="1"/>
        <v>2085.88</v>
      </c>
      <c r="H16" s="12">
        <f t="shared" si="2"/>
        <v>4002.7299999999987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3"/>
        <v>45483</v>
      </c>
      <c r="C17" s="13" t="s">
        <v>8</v>
      </c>
      <c r="D17" s="23">
        <v>6219.42</v>
      </c>
      <c r="E17" s="23">
        <f t="shared" si="0"/>
        <v>4664.6100000000006</v>
      </c>
      <c r="F17" s="25">
        <v>1554.81</v>
      </c>
      <c r="G17" s="23">
        <f t="shared" si="1"/>
        <v>1554.81</v>
      </c>
      <c r="H17" s="12">
        <f t="shared" si="2"/>
        <v>4002.7299999999991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3"/>
        <v>45484</v>
      </c>
      <c r="C18" s="13" t="s">
        <v>8</v>
      </c>
      <c r="D18" s="23">
        <v>15225.02</v>
      </c>
      <c r="E18" s="23">
        <f t="shared" si="0"/>
        <v>11418.86</v>
      </c>
      <c r="F18" s="25">
        <v>3806.16</v>
      </c>
      <c r="G18" s="23">
        <f t="shared" si="1"/>
        <v>3806.16</v>
      </c>
      <c r="H18" s="12">
        <f t="shared" si="2"/>
        <v>4002.7299999999996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3"/>
        <v>45485</v>
      </c>
      <c r="C19" s="13" t="s">
        <v>8</v>
      </c>
      <c r="D19" s="23">
        <v>4509.82</v>
      </c>
      <c r="E19" s="23">
        <f t="shared" si="0"/>
        <v>3382.4199999999996</v>
      </c>
      <c r="F19" s="25">
        <v>1127.4000000000001</v>
      </c>
      <c r="G19" s="23">
        <f t="shared" si="1"/>
        <v>1127.4000000000001</v>
      </c>
      <c r="H19" s="12">
        <f t="shared" si="2"/>
        <v>4002.7299999999991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3"/>
        <v>45488</v>
      </c>
      <c r="C20" s="13" t="s">
        <v>8</v>
      </c>
      <c r="D20" s="23">
        <v>3817.2</v>
      </c>
      <c r="E20" s="23">
        <f t="shared" si="0"/>
        <v>2862.95</v>
      </c>
      <c r="F20" s="25">
        <v>954.25</v>
      </c>
      <c r="G20" s="23">
        <f t="shared" si="1"/>
        <v>954.25</v>
      </c>
      <c r="H20" s="12">
        <f t="shared" si="2"/>
        <v>4002.7299999999996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3"/>
        <v>45489</v>
      </c>
      <c r="C21" s="13" t="s">
        <v>8</v>
      </c>
      <c r="D21" s="23">
        <v>13460.92</v>
      </c>
      <c r="E21" s="23">
        <f t="shared" si="0"/>
        <v>10095.74</v>
      </c>
      <c r="F21" s="25">
        <v>3365.18</v>
      </c>
      <c r="G21" s="23">
        <f t="shared" si="1"/>
        <v>3365.18</v>
      </c>
      <c r="H21" s="12">
        <f t="shared" si="2"/>
        <v>4002.73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3"/>
        <v>45490</v>
      </c>
      <c r="C22" s="13" t="s">
        <v>8</v>
      </c>
      <c r="D22" s="23">
        <v>10329.99</v>
      </c>
      <c r="E22" s="23">
        <f t="shared" si="0"/>
        <v>7747.52</v>
      </c>
      <c r="F22" s="25">
        <v>2582.4699999999998</v>
      </c>
      <c r="G22" s="23">
        <f t="shared" si="1"/>
        <v>2582.4699999999998</v>
      </c>
      <c r="H22" s="12">
        <f t="shared" si="2"/>
        <v>4002.73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3"/>
        <v>45491</v>
      </c>
      <c r="C23" s="13" t="s">
        <v>8</v>
      </c>
      <c r="D23" s="23">
        <v>5315.77</v>
      </c>
      <c r="E23" s="23">
        <f t="shared" si="0"/>
        <v>3986.8500000000004</v>
      </c>
      <c r="F23" s="25">
        <v>1328.92</v>
      </c>
      <c r="G23" s="23">
        <f t="shared" si="1"/>
        <v>1328.92</v>
      </c>
      <c r="H23" s="12">
        <f t="shared" si="2"/>
        <v>4002.7299999999996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3"/>
        <v>45492</v>
      </c>
      <c r="C24" s="13" t="s">
        <v>8</v>
      </c>
      <c r="D24" s="23">
        <v>7108.74</v>
      </c>
      <c r="E24" s="23">
        <f t="shared" si="0"/>
        <v>5331.58</v>
      </c>
      <c r="F24" s="25">
        <v>1777.16</v>
      </c>
      <c r="G24" s="23">
        <f t="shared" si="1"/>
        <v>1777.16</v>
      </c>
      <c r="H24" s="12">
        <f t="shared" si="2"/>
        <v>4002.7299999999996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3"/>
        <v>45495</v>
      </c>
      <c r="C25" s="13" t="s">
        <v>8</v>
      </c>
      <c r="D25" s="23">
        <v>4264.8</v>
      </c>
      <c r="E25" s="23">
        <f t="shared" si="0"/>
        <v>3198.63</v>
      </c>
      <c r="F25" s="25">
        <v>1066.17</v>
      </c>
      <c r="G25" s="23">
        <f t="shared" si="1"/>
        <v>1066.17</v>
      </c>
      <c r="H25" s="12">
        <f t="shared" si="2"/>
        <v>4002.7299999999996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3"/>
        <v>45496</v>
      </c>
      <c r="C26" s="13" t="s">
        <v>8</v>
      </c>
      <c r="D26" s="23">
        <v>2836.55</v>
      </c>
      <c r="E26" s="23">
        <f t="shared" si="0"/>
        <v>2127.42</v>
      </c>
      <c r="F26" s="25">
        <v>709.13</v>
      </c>
      <c r="G26" s="23">
        <f t="shared" si="1"/>
        <v>709.13</v>
      </c>
      <c r="H26" s="12">
        <f t="shared" si="2"/>
        <v>4002.7299999999996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3"/>
        <v>45497</v>
      </c>
      <c r="C27" s="13" t="s">
        <v>8</v>
      </c>
      <c r="D27" s="23">
        <v>3777.19</v>
      </c>
      <c r="E27" s="23">
        <f t="shared" si="0"/>
        <v>2832.92</v>
      </c>
      <c r="F27" s="25">
        <v>944.27</v>
      </c>
      <c r="G27" s="23">
        <f t="shared" si="1"/>
        <v>944.27</v>
      </c>
      <c r="H27" s="12">
        <f t="shared" si="2"/>
        <v>4002.73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3"/>
        <v>45498</v>
      </c>
      <c r="C28" s="13" t="s">
        <v>8</v>
      </c>
      <c r="D28" s="23">
        <v>1902.84</v>
      </c>
      <c r="E28" s="23">
        <f t="shared" si="0"/>
        <v>1427.1399999999999</v>
      </c>
      <c r="F28" s="25">
        <v>475.7</v>
      </c>
      <c r="G28" s="23">
        <f t="shared" si="1"/>
        <v>475.7</v>
      </c>
      <c r="H28" s="12">
        <f t="shared" si="2"/>
        <v>4002.7300000000005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3"/>
        <v>45499</v>
      </c>
      <c r="C29" s="13" t="s">
        <v>8</v>
      </c>
      <c r="D29" s="23">
        <v>2611.7199999999998</v>
      </c>
      <c r="E29" s="23">
        <f>D29-F29</f>
        <v>1958.81</v>
      </c>
      <c r="F29" s="25">
        <v>652.91</v>
      </c>
      <c r="G29" s="23">
        <f>F29</f>
        <v>652.91</v>
      </c>
      <c r="H29" s="12">
        <f t="shared" ref="H29:H35" si="4">H28+F29-G29</f>
        <v>4002.7300000000005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32"/>
      <c r="B30" s="22">
        <f t="shared" si="3"/>
        <v>45502</v>
      </c>
      <c r="C30" s="13" t="s">
        <v>8</v>
      </c>
      <c r="D30" s="23">
        <v>3069.73</v>
      </c>
      <c r="E30" s="23">
        <f t="shared" si="0"/>
        <v>2302.31</v>
      </c>
      <c r="F30" s="25">
        <v>767.42</v>
      </c>
      <c r="G30" s="23">
        <f>F30</f>
        <v>767.42</v>
      </c>
      <c r="H30" s="12">
        <f t="shared" si="4"/>
        <v>4002.7300000000005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2"/>
      <c r="B31" s="22">
        <f t="shared" si="3"/>
        <v>45503</v>
      </c>
      <c r="C31" s="13" t="s">
        <v>8</v>
      </c>
      <c r="D31" s="23">
        <v>16881.349999999999</v>
      </c>
      <c r="E31" s="23">
        <f t="shared" si="0"/>
        <v>12661.089999999998</v>
      </c>
      <c r="F31" s="25">
        <v>4220.26</v>
      </c>
      <c r="G31" s="23">
        <f>F31</f>
        <v>4220.26</v>
      </c>
      <c r="H31" s="12">
        <f t="shared" si="4"/>
        <v>4002.7300000000014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x14ac:dyDescent="0.25">
      <c r="A32" s="26"/>
      <c r="B32" s="22">
        <f t="shared" si="3"/>
        <v>45504</v>
      </c>
      <c r="C32" s="13" t="s">
        <v>8</v>
      </c>
      <c r="D32" s="23">
        <v>24039.69</v>
      </c>
      <c r="E32" s="23">
        <f>D32-F32</f>
        <v>18029.96</v>
      </c>
      <c r="F32" s="25">
        <v>6009.73</v>
      </c>
      <c r="G32" s="23">
        <f>F32</f>
        <v>6009.73</v>
      </c>
      <c r="H32" s="12">
        <f t="shared" si="4"/>
        <v>4002.7300000000014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6" t="s">
        <v>12</v>
      </c>
      <c r="B33" s="22">
        <v>45491</v>
      </c>
      <c r="C33" s="27" t="s">
        <v>11</v>
      </c>
      <c r="D33" s="23">
        <v>0</v>
      </c>
      <c r="E33" s="23">
        <f>D33-F33</f>
        <v>0</v>
      </c>
      <c r="F33" s="25">
        <v>0</v>
      </c>
      <c r="G33" s="23">
        <v>4002.73</v>
      </c>
      <c r="H33" s="12">
        <f t="shared" si="4"/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6" t="s">
        <v>13</v>
      </c>
      <c r="B34" s="22">
        <v>45504</v>
      </c>
      <c r="C34" s="27" t="s">
        <v>11</v>
      </c>
      <c r="D34" s="23">
        <v>23978.77</v>
      </c>
      <c r="E34" s="23">
        <f>D34-F34</f>
        <v>17984.080000000002</v>
      </c>
      <c r="F34" s="25">
        <v>5994.69</v>
      </c>
      <c r="G34" s="23">
        <v>0</v>
      </c>
      <c r="H34" s="12">
        <f t="shared" si="4"/>
        <v>5994.69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2"/>
      <c r="C35" s="27"/>
      <c r="D35" s="23"/>
      <c r="E35" s="23">
        <f t="shared" si="0"/>
        <v>0</v>
      </c>
      <c r="F35" s="25">
        <f>D35*25%</f>
        <v>0</v>
      </c>
      <c r="G35" s="23">
        <f t="shared" si="1"/>
        <v>0</v>
      </c>
      <c r="H35" s="12">
        <f t="shared" si="4"/>
        <v>5994.69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18" t="s">
        <v>9</v>
      </c>
      <c r="C36" s="19"/>
      <c r="D36" s="20">
        <f>SUM(D10:D35)</f>
        <v>212188.40000000002</v>
      </c>
      <c r="E36" s="20">
        <f>SUM(E10:E35)</f>
        <v>159142.51</v>
      </c>
      <c r="F36" s="20">
        <f>SUM(F10:F35)</f>
        <v>53045.89</v>
      </c>
      <c r="G36" s="14">
        <f>SUM(G10:G35)</f>
        <v>51053.93</v>
      </c>
      <c r="H36" s="12">
        <f>+H35</f>
        <v>5994.69</v>
      </c>
      <c r="I36" s="1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9"/>
      <c r="B37" s="79" t="s">
        <v>10</v>
      </c>
      <c r="C37" s="80"/>
      <c r="D37" s="80"/>
      <c r="E37" s="80"/>
      <c r="F37" s="80"/>
      <c r="G37" s="80"/>
      <c r="H37" s="81"/>
      <c r="I37" s="3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9"/>
      <c r="B38" s="73" t="s">
        <v>54</v>
      </c>
      <c r="C38" s="74"/>
      <c r="D38" s="74"/>
      <c r="E38" s="74"/>
      <c r="F38" s="74"/>
      <c r="G38" s="74"/>
      <c r="H38" s="75"/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2.25" customHeight="1" x14ac:dyDescent="0.25">
      <c r="A39" s="29"/>
      <c r="B39" s="82" t="s">
        <v>55</v>
      </c>
      <c r="C39" s="68"/>
      <c r="D39" s="68"/>
      <c r="E39" s="68"/>
      <c r="F39" s="68"/>
      <c r="G39" s="68"/>
      <c r="H39" s="75"/>
      <c r="I39" s="3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9.25" customHeight="1" x14ac:dyDescent="0.25">
      <c r="A40" s="29"/>
      <c r="B40" s="82" t="s">
        <v>56</v>
      </c>
      <c r="C40" s="74"/>
      <c r="D40" s="74"/>
      <c r="E40" s="74"/>
      <c r="F40" s="74"/>
      <c r="G40" s="74"/>
      <c r="H40" s="75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 hidden="1" customHeight="1" x14ac:dyDescent="0.25">
      <c r="A41" s="29"/>
      <c r="B41" s="82"/>
      <c r="C41" s="83"/>
      <c r="D41" s="83"/>
      <c r="E41" s="83"/>
      <c r="F41" s="83"/>
      <c r="G41" s="83"/>
      <c r="H41" s="84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 x14ac:dyDescent="0.3">
      <c r="A42" s="29"/>
      <c r="B42" s="76"/>
      <c r="C42" s="77"/>
      <c r="D42" s="77"/>
      <c r="E42" s="77"/>
      <c r="F42" s="77"/>
      <c r="G42" s="77"/>
      <c r="H42" s="78"/>
      <c r="I42" s="30"/>
      <c r="J42" s="2"/>
      <c r="K42" s="1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31"/>
      <c r="C43" s="31"/>
      <c r="D43" s="31"/>
      <c r="E43" s="31"/>
      <c r="F43" s="31"/>
      <c r="G43" s="31"/>
      <c r="H43" s="3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8">
    <mergeCell ref="B41:H41"/>
    <mergeCell ref="B42:H42"/>
    <mergeCell ref="B7:H7"/>
    <mergeCell ref="B9:G9"/>
    <mergeCell ref="B37:H37"/>
    <mergeCell ref="B38:H38"/>
    <mergeCell ref="B39:H39"/>
    <mergeCell ref="B40:H40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6"/>
  <sheetViews>
    <sheetView topLeftCell="A19" zoomScale="124" zoomScaleNormal="124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60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59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61</v>
      </c>
      <c r="C9" s="63"/>
      <c r="D9" s="63"/>
      <c r="E9" s="63"/>
      <c r="F9" s="63"/>
      <c r="G9" s="63"/>
      <c r="H9" s="12">
        <v>5994.69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45505</v>
      </c>
      <c r="C10" s="13" t="s">
        <v>8</v>
      </c>
      <c r="D10" s="23">
        <v>9815.69</v>
      </c>
      <c r="E10" s="23">
        <f t="shared" ref="E10:E35" si="0">D10-F10</f>
        <v>7361.84</v>
      </c>
      <c r="F10" s="23">
        <v>2453.85</v>
      </c>
      <c r="G10" s="23">
        <f t="shared" ref="G10:G35" si="1">F10</f>
        <v>2453.85</v>
      </c>
      <c r="H10" s="12">
        <f t="shared" ref="H10:H28" si="2">H9+F10-G10</f>
        <v>5994.6899999999987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3">B10+(MOD(B10,7)=6)*2+1</f>
        <v>45506</v>
      </c>
      <c r="C11" s="13" t="s">
        <v>8</v>
      </c>
      <c r="D11" s="23">
        <v>6487.15</v>
      </c>
      <c r="E11" s="23">
        <f t="shared" si="0"/>
        <v>4865.3899999999994</v>
      </c>
      <c r="F11" s="24">
        <v>1621.76</v>
      </c>
      <c r="G11" s="23">
        <f t="shared" si="1"/>
        <v>1621.76</v>
      </c>
      <c r="H11" s="12">
        <f t="shared" si="2"/>
        <v>5994.6899999999987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3"/>
        <v>45509</v>
      </c>
      <c r="C12" s="13" t="s">
        <v>8</v>
      </c>
      <c r="D12" s="23">
        <v>5896.99</v>
      </c>
      <c r="E12" s="23">
        <f t="shared" si="0"/>
        <v>4422.79</v>
      </c>
      <c r="F12" s="24">
        <v>1474.2</v>
      </c>
      <c r="G12" s="23">
        <f t="shared" si="1"/>
        <v>1474.2</v>
      </c>
      <c r="H12" s="12">
        <f t="shared" si="2"/>
        <v>5994.6899999999987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3"/>
        <v>45510</v>
      </c>
      <c r="C13" s="13" t="s">
        <v>8</v>
      </c>
      <c r="D13" s="23">
        <v>7785.54</v>
      </c>
      <c r="E13" s="23">
        <f t="shared" si="0"/>
        <v>5839.1900000000005</v>
      </c>
      <c r="F13" s="24">
        <v>1946.35</v>
      </c>
      <c r="G13" s="23">
        <f t="shared" si="1"/>
        <v>1946.35</v>
      </c>
      <c r="H13" s="12">
        <f t="shared" si="2"/>
        <v>5994.6899999999987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3"/>
        <v>45511</v>
      </c>
      <c r="C14" s="13" t="s">
        <v>8</v>
      </c>
      <c r="D14" s="23">
        <v>5672.21</v>
      </c>
      <c r="E14" s="23">
        <f t="shared" si="0"/>
        <v>4254.1900000000005</v>
      </c>
      <c r="F14" s="24">
        <v>1418.02</v>
      </c>
      <c r="G14" s="23">
        <f t="shared" si="1"/>
        <v>1418.02</v>
      </c>
      <c r="H14" s="12">
        <f t="shared" si="2"/>
        <v>5994.6899999999987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3"/>
        <v>45512</v>
      </c>
      <c r="C15" s="13" t="s">
        <v>8</v>
      </c>
      <c r="D15" s="23">
        <v>1705.24</v>
      </c>
      <c r="E15" s="23">
        <f t="shared" si="0"/>
        <v>1278.94</v>
      </c>
      <c r="F15" s="25">
        <v>426.3</v>
      </c>
      <c r="G15" s="23">
        <f t="shared" si="1"/>
        <v>426.3</v>
      </c>
      <c r="H15" s="12">
        <f t="shared" si="2"/>
        <v>5994.6899999999987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3"/>
        <v>45513</v>
      </c>
      <c r="C16" s="13" t="s">
        <v>8</v>
      </c>
      <c r="D16" s="23">
        <v>6597.34</v>
      </c>
      <c r="E16" s="23">
        <f t="shared" si="0"/>
        <v>4948.04</v>
      </c>
      <c r="F16" s="25">
        <v>1649.3</v>
      </c>
      <c r="G16" s="23">
        <f t="shared" si="1"/>
        <v>1649.3</v>
      </c>
      <c r="H16" s="12">
        <f t="shared" si="2"/>
        <v>5994.6899999999987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3"/>
        <v>45516</v>
      </c>
      <c r="C17" s="13" t="s">
        <v>8</v>
      </c>
      <c r="D17" s="23">
        <v>8646.32</v>
      </c>
      <c r="E17" s="23">
        <f t="shared" si="0"/>
        <v>6484.76</v>
      </c>
      <c r="F17" s="25">
        <v>2161.56</v>
      </c>
      <c r="G17" s="23">
        <f t="shared" si="1"/>
        <v>2161.56</v>
      </c>
      <c r="H17" s="12">
        <f t="shared" si="2"/>
        <v>5994.6899999999987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3"/>
        <v>45517</v>
      </c>
      <c r="C18" s="13" t="s">
        <v>8</v>
      </c>
      <c r="D18" s="23">
        <v>8541.4</v>
      </c>
      <c r="E18" s="23">
        <f t="shared" si="0"/>
        <v>6406.11</v>
      </c>
      <c r="F18" s="25">
        <v>2135.29</v>
      </c>
      <c r="G18" s="23">
        <f t="shared" si="1"/>
        <v>2135.29</v>
      </c>
      <c r="H18" s="12">
        <f t="shared" si="2"/>
        <v>5994.6899999999987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3"/>
        <v>45518</v>
      </c>
      <c r="C19" s="13" t="s">
        <v>8</v>
      </c>
      <c r="D19" s="23">
        <v>9905.11</v>
      </c>
      <c r="E19" s="23">
        <f t="shared" si="0"/>
        <v>7428.8600000000006</v>
      </c>
      <c r="F19" s="25">
        <v>2476.25</v>
      </c>
      <c r="G19" s="23">
        <f t="shared" si="1"/>
        <v>2476.25</v>
      </c>
      <c r="H19" s="12">
        <f t="shared" si="2"/>
        <v>5994.6899999999987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3"/>
        <v>45519</v>
      </c>
      <c r="C20" s="13" t="s">
        <v>8</v>
      </c>
      <c r="D20" s="23">
        <v>9417.84</v>
      </c>
      <c r="E20" s="23">
        <f t="shared" si="0"/>
        <v>7063.41</v>
      </c>
      <c r="F20" s="25">
        <v>2354.4299999999998</v>
      </c>
      <c r="G20" s="23">
        <f t="shared" si="1"/>
        <v>2354.4299999999998</v>
      </c>
      <c r="H20" s="12">
        <f t="shared" si="2"/>
        <v>5994.6899999999987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3"/>
        <v>45520</v>
      </c>
      <c r="C21" s="13" t="s">
        <v>8</v>
      </c>
      <c r="D21" s="23">
        <v>11309.85</v>
      </c>
      <c r="E21" s="23">
        <f t="shared" si="0"/>
        <v>8482.4000000000015</v>
      </c>
      <c r="F21" s="25">
        <v>2827.45</v>
      </c>
      <c r="G21" s="23">
        <f t="shared" si="1"/>
        <v>2827.45</v>
      </c>
      <c r="H21" s="12">
        <f t="shared" si="2"/>
        <v>5994.69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3"/>
        <v>45523</v>
      </c>
      <c r="C22" s="13" t="s">
        <v>8</v>
      </c>
      <c r="D22" s="23">
        <v>6838.89</v>
      </c>
      <c r="E22" s="23">
        <f t="shared" si="0"/>
        <v>5129.1900000000005</v>
      </c>
      <c r="F22" s="25">
        <v>1709.7</v>
      </c>
      <c r="G22" s="23">
        <f t="shared" si="1"/>
        <v>1709.7</v>
      </c>
      <c r="H22" s="12">
        <f t="shared" si="2"/>
        <v>5994.69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3"/>
        <v>45524</v>
      </c>
      <c r="C23" s="13" t="s">
        <v>8</v>
      </c>
      <c r="D23" s="23">
        <v>5339.59</v>
      </c>
      <c r="E23" s="23">
        <f t="shared" si="0"/>
        <v>4004.7200000000003</v>
      </c>
      <c r="F23" s="25">
        <v>1334.87</v>
      </c>
      <c r="G23" s="23">
        <f t="shared" si="1"/>
        <v>1334.87</v>
      </c>
      <c r="H23" s="12">
        <f t="shared" si="2"/>
        <v>5994.69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3"/>
        <v>45525</v>
      </c>
      <c r="C24" s="13" t="s">
        <v>8</v>
      </c>
      <c r="D24" s="23">
        <v>1892.71</v>
      </c>
      <c r="E24" s="23">
        <f t="shared" si="0"/>
        <v>1419.54</v>
      </c>
      <c r="F24" s="25">
        <v>473.17</v>
      </c>
      <c r="G24" s="23">
        <f t="shared" si="1"/>
        <v>473.17</v>
      </c>
      <c r="H24" s="12">
        <f t="shared" si="2"/>
        <v>5994.69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3"/>
        <v>45526</v>
      </c>
      <c r="C25" s="13" t="s">
        <v>8</v>
      </c>
      <c r="D25" s="23">
        <v>4099.04</v>
      </c>
      <c r="E25" s="23">
        <f t="shared" si="0"/>
        <v>3074.29</v>
      </c>
      <c r="F25" s="25">
        <v>1024.75</v>
      </c>
      <c r="G25" s="23">
        <f t="shared" si="1"/>
        <v>1024.75</v>
      </c>
      <c r="H25" s="12">
        <f t="shared" si="2"/>
        <v>5994.69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3"/>
        <v>45527</v>
      </c>
      <c r="C26" s="13" t="s">
        <v>8</v>
      </c>
      <c r="D26" s="23">
        <v>3299.59</v>
      </c>
      <c r="E26" s="23">
        <f t="shared" si="0"/>
        <v>2474.71</v>
      </c>
      <c r="F26" s="25">
        <v>824.88</v>
      </c>
      <c r="G26" s="23">
        <f t="shared" si="1"/>
        <v>824.88</v>
      </c>
      <c r="H26" s="12">
        <f t="shared" si="2"/>
        <v>5994.69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3"/>
        <v>45530</v>
      </c>
      <c r="C27" s="13" t="s">
        <v>8</v>
      </c>
      <c r="D27" s="23">
        <v>2169.46</v>
      </c>
      <c r="E27" s="23">
        <f t="shared" si="0"/>
        <v>1627.1</v>
      </c>
      <c r="F27" s="25">
        <v>542.36</v>
      </c>
      <c r="G27" s="23">
        <f t="shared" si="1"/>
        <v>542.36</v>
      </c>
      <c r="H27" s="12">
        <f t="shared" si="2"/>
        <v>5994.69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3"/>
        <v>45531</v>
      </c>
      <c r="C28" s="13" t="s">
        <v>8</v>
      </c>
      <c r="D28" s="23">
        <v>10350.89</v>
      </c>
      <c r="E28" s="23">
        <f t="shared" si="0"/>
        <v>7763.2199999999993</v>
      </c>
      <c r="F28" s="25">
        <v>2587.67</v>
      </c>
      <c r="G28" s="23">
        <f t="shared" si="1"/>
        <v>2587.67</v>
      </c>
      <c r="H28" s="12">
        <f t="shared" si="2"/>
        <v>5994.6900000000005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3"/>
        <v>45532</v>
      </c>
      <c r="C29" s="13" t="s">
        <v>8</v>
      </c>
      <c r="D29" s="23">
        <v>6589.03</v>
      </c>
      <c r="E29" s="23">
        <f>D29-F29</f>
        <v>4941.83</v>
      </c>
      <c r="F29" s="25">
        <v>1647.2</v>
      </c>
      <c r="G29" s="23">
        <f>F29</f>
        <v>1647.2</v>
      </c>
      <c r="H29" s="12">
        <f t="shared" ref="H29:H35" si="4">H28+F29-G29</f>
        <v>5994.6900000000005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32"/>
      <c r="B30" s="22">
        <f t="shared" si="3"/>
        <v>45533</v>
      </c>
      <c r="C30" s="13" t="s">
        <v>8</v>
      </c>
      <c r="D30" s="23">
        <v>10440.73</v>
      </c>
      <c r="E30" s="23">
        <f t="shared" si="0"/>
        <v>7830.5999999999995</v>
      </c>
      <c r="F30" s="25">
        <v>2610.13</v>
      </c>
      <c r="G30" s="23">
        <f>F30</f>
        <v>2610.13</v>
      </c>
      <c r="H30" s="12">
        <f t="shared" si="4"/>
        <v>5994.69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2"/>
      <c r="B31" s="22">
        <f t="shared" si="3"/>
        <v>45534</v>
      </c>
      <c r="C31" s="13" t="s">
        <v>8</v>
      </c>
      <c r="D31" s="23">
        <v>14365.4</v>
      </c>
      <c r="E31" s="23">
        <f t="shared" si="0"/>
        <v>10774.11</v>
      </c>
      <c r="F31" s="25">
        <v>3591.29</v>
      </c>
      <c r="G31" s="23">
        <f>F31</f>
        <v>3591.29</v>
      </c>
      <c r="H31" s="12">
        <f t="shared" si="4"/>
        <v>5994.69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idden="1" x14ac:dyDescent="0.25">
      <c r="A32" s="26"/>
      <c r="B32" s="22">
        <f t="shared" si="3"/>
        <v>45537</v>
      </c>
      <c r="C32" s="13" t="s">
        <v>8</v>
      </c>
      <c r="D32" s="23">
        <v>0</v>
      </c>
      <c r="E32" s="23">
        <f t="shared" si="0"/>
        <v>0</v>
      </c>
      <c r="F32" s="25">
        <v>0</v>
      </c>
      <c r="G32" s="23">
        <f>F32</f>
        <v>0</v>
      </c>
      <c r="H32" s="12">
        <f t="shared" si="4"/>
        <v>5994.69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6" t="s">
        <v>12</v>
      </c>
      <c r="B33" s="22">
        <v>45523</v>
      </c>
      <c r="C33" s="27" t="s">
        <v>11</v>
      </c>
      <c r="D33" s="23">
        <v>0</v>
      </c>
      <c r="E33" s="23">
        <f t="shared" si="0"/>
        <v>0</v>
      </c>
      <c r="F33" s="25">
        <v>0</v>
      </c>
      <c r="G33" s="23">
        <v>5994.69</v>
      </c>
      <c r="H33" s="12">
        <f t="shared" si="4"/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6" t="s">
        <v>13</v>
      </c>
      <c r="B34" s="22">
        <v>45535</v>
      </c>
      <c r="C34" s="27" t="s">
        <v>11</v>
      </c>
      <c r="D34" s="23">
        <v>9739.14</v>
      </c>
      <c r="E34" s="23">
        <f>D34-F34</f>
        <v>7304.3499999999995</v>
      </c>
      <c r="F34" s="25">
        <v>2434.79</v>
      </c>
      <c r="G34" s="23">
        <v>0</v>
      </c>
      <c r="H34" s="12">
        <f t="shared" si="4"/>
        <v>2434.79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2"/>
      <c r="C35" s="27"/>
      <c r="D35" s="23"/>
      <c r="E35" s="23">
        <f t="shared" si="0"/>
        <v>0</v>
      </c>
      <c r="F35" s="25">
        <f>D35*25%</f>
        <v>0</v>
      </c>
      <c r="G35" s="23">
        <f t="shared" si="1"/>
        <v>0</v>
      </c>
      <c r="H35" s="12">
        <f t="shared" si="4"/>
        <v>2434.79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18" t="s">
        <v>9</v>
      </c>
      <c r="C36" s="19"/>
      <c r="D36" s="20">
        <f>SUM(D10:D35)</f>
        <v>166905.15000000002</v>
      </c>
      <c r="E36" s="20">
        <f>SUM(E10:E35)</f>
        <v>125179.58000000003</v>
      </c>
      <c r="F36" s="20">
        <f>SUM(F10:F35)</f>
        <v>41725.569999999992</v>
      </c>
      <c r="G36" s="14">
        <f>SUM(G10:G35)</f>
        <v>45285.469999999994</v>
      </c>
      <c r="H36" s="12">
        <f>+H35</f>
        <v>2434.79</v>
      </c>
      <c r="I36" s="1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9"/>
      <c r="B37" s="79" t="s">
        <v>10</v>
      </c>
      <c r="C37" s="80"/>
      <c r="D37" s="80"/>
      <c r="E37" s="80"/>
      <c r="F37" s="80"/>
      <c r="G37" s="80"/>
      <c r="H37" s="81"/>
      <c r="I37" s="3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9"/>
      <c r="B38" s="73" t="s">
        <v>62</v>
      </c>
      <c r="C38" s="74"/>
      <c r="D38" s="74"/>
      <c r="E38" s="74"/>
      <c r="F38" s="74"/>
      <c r="G38" s="74"/>
      <c r="H38" s="75"/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2.25" customHeight="1" x14ac:dyDescent="0.25">
      <c r="A39" s="29"/>
      <c r="B39" s="82" t="s">
        <v>63</v>
      </c>
      <c r="C39" s="68"/>
      <c r="D39" s="68"/>
      <c r="E39" s="68"/>
      <c r="F39" s="68"/>
      <c r="G39" s="68"/>
      <c r="H39" s="75"/>
      <c r="I39" s="30"/>
      <c r="J39" s="3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9.25" customHeight="1" x14ac:dyDescent="0.25">
      <c r="A40" s="29"/>
      <c r="B40" s="82" t="s">
        <v>64</v>
      </c>
      <c r="C40" s="74"/>
      <c r="D40" s="74"/>
      <c r="E40" s="74"/>
      <c r="F40" s="74"/>
      <c r="G40" s="74"/>
      <c r="H40" s="75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 hidden="1" customHeight="1" x14ac:dyDescent="0.25">
      <c r="A41" s="29"/>
      <c r="B41" s="82"/>
      <c r="C41" s="83"/>
      <c r="D41" s="83"/>
      <c r="E41" s="83"/>
      <c r="F41" s="83"/>
      <c r="G41" s="83"/>
      <c r="H41" s="84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 x14ac:dyDescent="0.3">
      <c r="A42" s="29"/>
      <c r="B42" s="76"/>
      <c r="C42" s="77"/>
      <c r="D42" s="77"/>
      <c r="E42" s="77"/>
      <c r="F42" s="77"/>
      <c r="G42" s="77"/>
      <c r="H42" s="78"/>
      <c r="I42" s="30"/>
      <c r="J42" s="2"/>
      <c r="K42" s="1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31"/>
      <c r="C43" s="31"/>
      <c r="D43" s="31"/>
      <c r="E43" s="31"/>
      <c r="F43" s="31"/>
      <c r="G43" s="31"/>
      <c r="H43" s="3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8">
    <mergeCell ref="B41:H41"/>
    <mergeCell ref="B42:H42"/>
    <mergeCell ref="B7:H7"/>
    <mergeCell ref="B9:G9"/>
    <mergeCell ref="B37:H37"/>
    <mergeCell ref="B38:H38"/>
    <mergeCell ref="B39:H39"/>
    <mergeCell ref="B40:H40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6"/>
  <sheetViews>
    <sheetView topLeftCell="A13" zoomScale="124" zoomScaleNormal="124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65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59" t="s">
        <v>70</v>
      </c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2" t="s">
        <v>66</v>
      </c>
      <c r="C9" s="63"/>
      <c r="D9" s="63"/>
      <c r="E9" s="63"/>
      <c r="F9" s="63"/>
      <c r="G9" s="63"/>
      <c r="H9" s="12">
        <v>2434.79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45537</v>
      </c>
      <c r="C10" s="13" t="s">
        <v>8</v>
      </c>
      <c r="D10" s="23">
        <v>24927.77</v>
      </c>
      <c r="E10" s="23">
        <f>D10-F10</f>
        <v>18696.02</v>
      </c>
      <c r="F10" s="23">
        <v>6231.75</v>
      </c>
      <c r="G10" s="23">
        <f t="shared" ref="G10:G35" si="0">F10</f>
        <v>6231.75</v>
      </c>
      <c r="H10" s="12">
        <f t="shared" ref="H10:H28" si="1">H9+F10-G10</f>
        <v>2434.7900000000009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2">B10+(MOD(B10,7)=6)*2+1</f>
        <v>45538</v>
      </c>
      <c r="C11" s="13" t="s">
        <v>8</v>
      </c>
      <c r="D11" s="23">
        <v>11358.65</v>
      </c>
      <c r="E11" s="23">
        <f t="shared" ref="E11:E35" si="3">D11-F11</f>
        <v>8519.07</v>
      </c>
      <c r="F11" s="24">
        <v>2839.58</v>
      </c>
      <c r="G11" s="23">
        <f t="shared" si="0"/>
        <v>2839.58</v>
      </c>
      <c r="H11" s="12">
        <f t="shared" si="1"/>
        <v>2434.7900000000009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2"/>
        <v>45539</v>
      </c>
      <c r="C12" s="13" t="s">
        <v>8</v>
      </c>
      <c r="D12" s="23">
        <v>9024.11</v>
      </c>
      <c r="E12" s="23">
        <f t="shared" si="3"/>
        <v>6768.130000000001</v>
      </c>
      <c r="F12" s="24">
        <v>2255.98</v>
      </c>
      <c r="G12" s="23">
        <f t="shared" si="0"/>
        <v>2255.98</v>
      </c>
      <c r="H12" s="12">
        <f t="shared" si="1"/>
        <v>2434.7900000000004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2"/>
        <v>45540</v>
      </c>
      <c r="C13" s="13" t="s">
        <v>8</v>
      </c>
      <c r="D13" s="23">
        <v>5982.13</v>
      </c>
      <c r="E13" s="23">
        <f t="shared" si="3"/>
        <v>4486.6400000000003</v>
      </c>
      <c r="F13" s="24">
        <v>1495.49</v>
      </c>
      <c r="G13" s="23">
        <f t="shared" si="0"/>
        <v>1495.49</v>
      </c>
      <c r="H13" s="12">
        <f t="shared" si="1"/>
        <v>2434.7900000000009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2"/>
        <v>45541</v>
      </c>
      <c r="C14" s="13" t="s">
        <v>8</v>
      </c>
      <c r="D14" s="23">
        <v>8063.66</v>
      </c>
      <c r="E14" s="23">
        <f t="shared" si="3"/>
        <v>6047.79</v>
      </c>
      <c r="F14" s="24">
        <v>2015.87</v>
      </c>
      <c r="G14" s="23">
        <f t="shared" si="0"/>
        <v>2015.87</v>
      </c>
      <c r="H14" s="12">
        <f t="shared" si="1"/>
        <v>2434.7900000000009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2"/>
        <v>45544</v>
      </c>
      <c r="C15" s="13" t="s">
        <v>8</v>
      </c>
      <c r="D15" s="23">
        <v>6362.51</v>
      </c>
      <c r="E15" s="23">
        <f t="shared" si="3"/>
        <v>4771.92</v>
      </c>
      <c r="F15" s="25">
        <v>1590.59</v>
      </c>
      <c r="G15" s="23">
        <f t="shared" si="0"/>
        <v>1590.59</v>
      </c>
      <c r="H15" s="12">
        <f t="shared" si="1"/>
        <v>2434.7900000000009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2"/>
        <v>45545</v>
      </c>
      <c r="C16" s="13" t="s">
        <v>8</v>
      </c>
      <c r="D16" s="23">
        <v>16912.22</v>
      </c>
      <c r="E16" s="23">
        <f t="shared" si="3"/>
        <v>12684.260000000002</v>
      </c>
      <c r="F16" s="25">
        <v>4227.96</v>
      </c>
      <c r="G16" s="23">
        <f t="shared" si="0"/>
        <v>4227.96</v>
      </c>
      <c r="H16" s="12">
        <f t="shared" si="1"/>
        <v>2434.7900000000009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2"/>
        <v>45546</v>
      </c>
      <c r="C17" s="13" t="s">
        <v>8</v>
      </c>
      <c r="D17" s="23">
        <v>11361.34</v>
      </c>
      <c r="E17" s="23">
        <f t="shared" si="3"/>
        <v>8521.1</v>
      </c>
      <c r="F17" s="25">
        <v>2840.24</v>
      </c>
      <c r="G17" s="23">
        <f t="shared" si="0"/>
        <v>2840.24</v>
      </c>
      <c r="H17" s="12">
        <f t="shared" si="1"/>
        <v>2434.7900000000009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2"/>
        <v>45547</v>
      </c>
      <c r="C18" s="13" t="s">
        <v>8</v>
      </c>
      <c r="D18" s="23">
        <v>7032.87</v>
      </c>
      <c r="E18" s="23">
        <f t="shared" si="3"/>
        <v>5274.67</v>
      </c>
      <c r="F18" s="25">
        <v>1758.2</v>
      </c>
      <c r="G18" s="23">
        <f t="shared" si="0"/>
        <v>1758.2</v>
      </c>
      <c r="H18" s="12">
        <f t="shared" si="1"/>
        <v>2434.7900000000009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2"/>
        <v>45548</v>
      </c>
      <c r="C19" s="13" t="s">
        <v>8</v>
      </c>
      <c r="D19" s="23">
        <v>8265.91</v>
      </c>
      <c r="E19" s="23">
        <f t="shared" si="3"/>
        <v>6199.49</v>
      </c>
      <c r="F19" s="25">
        <v>2066.42</v>
      </c>
      <c r="G19" s="23">
        <f t="shared" si="0"/>
        <v>2066.42</v>
      </c>
      <c r="H19" s="12">
        <f t="shared" si="1"/>
        <v>2434.7900000000009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2"/>
        <v>45551</v>
      </c>
      <c r="C20" s="13" t="s">
        <v>8</v>
      </c>
      <c r="D20" s="23">
        <v>6892.7</v>
      </c>
      <c r="E20" s="23">
        <f t="shared" si="3"/>
        <v>5169.5599999999995</v>
      </c>
      <c r="F20" s="25">
        <v>1723.14</v>
      </c>
      <c r="G20" s="23">
        <f t="shared" si="0"/>
        <v>1723.14</v>
      </c>
      <c r="H20" s="12">
        <f t="shared" si="1"/>
        <v>2434.7900000000009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2"/>
        <v>45552</v>
      </c>
      <c r="C21" s="13" t="s">
        <v>8</v>
      </c>
      <c r="D21" s="23">
        <v>4986.6099999999997</v>
      </c>
      <c r="E21" s="23">
        <f t="shared" si="3"/>
        <v>3739.9799999999996</v>
      </c>
      <c r="F21" s="25">
        <v>1246.6300000000001</v>
      </c>
      <c r="G21" s="23">
        <f t="shared" si="0"/>
        <v>1246.6300000000001</v>
      </c>
      <c r="H21" s="12">
        <f t="shared" si="1"/>
        <v>2434.7900000000009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2"/>
        <v>45553</v>
      </c>
      <c r="C22" s="13" t="s">
        <v>8</v>
      </c>
      <c r="D22" s="23">
        <v>5052.55</v>
      </c>
      <c r="E22" s="23">
        <f t="shared" si="3"/>
        <v>3789.4400000000005</v>
      </c>
      <c r="F22" s="25">
        <v>1263.1099999999999</v>
      </c>
      <c r="G22" s="23">
        <f t="shared" si="0"/>
        <v>1263.1099999999999</v>
      </c>
      <c r="H22" s="12">
        <f t="shared" si="1"/>
        <v>2434.7900000000009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2"/>
        <v>45554</v>
      </c>
      <c r="C23" s="13" t="s">
        <v>8</v>
      </c>
      <c r="D23" s="23">
        <v>4887.63</v>
      </c>
      <c r="E23" s="23">
        <f t="shared" si="3"/>
        <v>3665.75</v>
      </c>
      <c r="F23" s="25">
        <v>1221.8800000000001</v>
      </c>
      <c r="G23" s="23">
        <f t="shared" si="0"/>
        <v>1221.8800000000001</v>
      </c>
      <c r="H23" s="12">
        <f t="shared" si="1"/>
        <v>2434.7900000000009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2"/>
        <v>45555</v>
      </c>
      <c r="C24" s="13" t="s">
        <v>8</v>
      </c>
      <c r="D24" s="23">
        <v>5257.86</v>
      </c>
      <c r="E24" s="23">
        <f t="shared" si="3"/>
        <v>3943.4299999999994</v>
      </c>
      <c r="F24" s="25">
        <v>1314.43</v>
      </c>
      <c r="G24" s="23">
        <f t="shared" si="0"/>
        <v>1314.43</v>
      </c>
      <c r="H24" s="12">
        <f t="shared" si="1"/>
        <v>2434.7900000000009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2"/>
        <v>45558</v>
      </c>
      <c r="C25" s="13" t="s">
        <v>8</v>
      </c>
      <c r="D25" s="23">
        <v>7660.8</v>
      </c>
      <c r="E25" s="23">
        <f t="shared" si="3"/>
        <v>5745.66</v>
      </c>
      <c r="F25" s="25">
        <v>1915.14</v>
      </c>
      <c r="G25" s="23">
        <f t="shared" si="0"/>
        <v>1915.14</v>
      </c>
      <c r="H25" s="12">
        <f t="shared" si="1"/>
        <v>2434.7900000000009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2"/>
        <v>45559</v>
      </c>
      <c r="C26" s="13" t="s">
        <v>8</v>
      </c>
      <c r="D26" s="23">
        <v>5316.01</v>
      </c>
      <c r="E26" s="23">
        <f t="shared" si="3"/>
        <v>3987.04</v>
      </c>
      <c r="F26" s="25">
        <v>1328.97</v>
      </c>
      <c r="G26" s="23">
        <f t="shared" si="0"/>
        <v>1328.97</v>
      </c>
      <c r="H26" s="12">
        <f t="shared" si="1"/>
        <v>2434.7900000000009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2"/>
        <v>45560</v>
      </c>
      <c r="C27" s="13" t="s">
        <v>8</v>
      </c>
      <c r="D27" s="23">
        <v>2222.59</v>
      </c>
      <c r="E27" s="23">
        <f t="shared" si="3"/>
        <v>1666.96</v>
      </c>
      <c r="F27" s="25">
        <v>555.63</v>
      </c>
      <c r="G27" s="23">
        <f t="shared" si="0"/>
        <v>555.63</v>
      </c>
      <c r="H27" s="12">
        <f t="shared" si="1"/>
        <v>2434.7900000000009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2"/>
        <v>45561</v>
      </c>
      <c r="C28" s="13" t="s">
        <v>8</v>
      </c>
      <c r="D28" s="23">
        <v>2809.93</v>
      </c>
      <c r="E28" s="23">
        <f t="shared" si="3"/>
        <v>2107.46</v>
      </c>
      <c r="F28" s="25">
        <v>702.47</v>
      </c>
      <c r="G28" s="23">
        <f t="shared" si="0"/>
        <v>702.47</v>
      </c>
      <c r="H28" s="12">
        <f t="shared" si="1"/>
        <v>2434.7900000000009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2"/>
        <v>45562</v>
      </c>
      <c r="C29" s="13" t="s">
        <v>8</v>
      </c>
      <c r="D29" s="23">
        <v>9489.31</v>
      </c>
      <c r="E29" s="23">
        <f>D29-F29</f>
        <v>7117.0299999999988</v>
      </c>
      <c r="F29" s="25">
        <v>2372.2800000000002</v>
      </c>
      <c r="G29" s="23">
        <f>F29</f>
        <v>2372.2800000000002</v>
      </c>
      <c r="H29" s="12">
        <f t="shared" ref="H29:H35" si="4">H28+F29-G29</f>
        <v>2434.7900000000013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32"/>
      <c r="B30" s="22">
        <f t="shared" si="2"/>
        <v>45565</v>
      </c>
      <c r="C30" s="13" t="s">
        <v>8</v>
      </c>
      <c r="D30" s="23">
        <v>4987.63</v>
      </c>
      <c r="E30" s="23">
        <f t="shared" si="3"/>
        <v>3740.75</v>
      </c>
      <c r="F30" s="25">
        <v>1246.8800000000001</v>
      </c>
      <c r="G30" s="23">
        <f>F30</f>
        <v>1246.8800000000001</v>
      </c>
      <c r="H30" s="12">
        <f t="shared" si="4"/>
        <v>2434.7900000000013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hidden="1" customHeight="1" x14ac:dyDescent="0.25">
      <c r="A31" s="32"/>
      <c r="B31" s="22">
        <f t="shared" si="2"/>
        <v>45566</v>
      </c>
      <c r="C31" s="13" t="s">
        <v>8</v>
      </c>
      <c r="D31" s="23">
        <v>0</v>
      </c>
      <c r="E31" s="23">
        <f t="shared" si="3"/>
        <v>0</v>
      </c>
      <c r="F31" s="25">
        <v>0</v>
      </c>
      <c r="G31" s="23">
        <f>F31</f>
        <v>0</v>
      </c>
      <c r="H31" s="12">
        <f t="shared" si="4"/>
        <v>2434.7900000000013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idden="1" x14ac:dyDescent="0.25">
      <c r="A32" s="26"/>
      <c r="B32" s="22">
        <f t="shared" si="2"/>
        <v>45567</v>
      </c>
      <c r="C32" s="13" t="s">
        <v>8</v>
      </c>
      <c r="D32" s="23">
        <v>0</v>
      </c>
      <c r="E32" s="23">
        <f t="shared" si="3"/>
        <v>0</v>
      </c>
      <c r="F32" s="25">
        <v>0</v>
      </c>
      <c r="G32" s="23">
        <f>F32</f>
        <v>0</v>
      </c>
      <c r="H32" s="12">
        <f t="shared" si="4"/>
        <v>2434.7900000000013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6" t="s">
        <v>12</v>
      </c>
      <c r="B33" s="22">
        <v>45558</v>
      </c>
      <c r="C33" s="27" t="s">
        <v>11</v>
      </c>
      <c r="D33" s="23">
        <v>0</v>
      </c>
      <c r="E33" s="23">
        <f t="shared" si="3"/>
        <v>0</v>
      </c>
      <c r="F33" s="25">
        <v>0</v>
      </c>
      <c r="G33" s="23">
        <v>2434.79</v>
      </c>
      <c r="H33" s="12">
        <f t="shared" si="4"/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6" t="s">
        <v>13</v>
      </c>
      <c r="B34" s="22">
        <v>45565</v>
      </c>
      <c r="C34" s="27" t="s">
        <v>11</v>
      </c>
      <c r="D34" s="23">
        <v>6186.34</v>
      </c>
      <c r="E34" s="23">
        <f>D34-F34</f>
        <v>4639.75</v>
      </c>
      <c r="F34" s="25">
        <v>1546.59</v>
      </c>
      <c r="G34" s="23">
        <v>0</v>
      </c>
      <c r="H34" s="12">
        <f t="shared" si="4"/>
        <v>1546.59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idden="1" x14ac:dyDescent="0.25">
      <c r="A35" s="2"/>
      <c r="B35" s="22"/>
      <c r="C35" s="27"/>
      <c r="D35" s="23"/>
      <c r="E35" s="23">
        <f t="shared" si="3"/>
        <v>0</v>
      </c>
      <c r="F35" s="25">
        <f>D35*25%</f>
        <v>0</v>
      </c>
      <c r="G35" s="23">
        <f t="shared" si="0"/>
        <v>0</v>
      </c>
      <c r="H35" s="12">
        <f t="shared" si="4"/>
        <v>1546.59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18" t="s">
        <v>9</v>
      </c>
      <c r="C36" s="19"/>
      <c r="D36" s="20">
        <f>SUM(D10:D35)</f>
        <v>175041.12999999995</v>
      </c>
      <c r="E36" s="20">
        <f>SUM(E10:E35)</f>
        <v>131281.90000000002</v>
      </c>
      <c r="F36" s="20">
        <f>SUM(F10:F35)</f>
        <v>43759.229999999996</v>
      </c>
      <c r="G36" s="14">
        <f>SUM(G10:G35)</f>
        <v>44647.43</v>
      </c>
      <c r="H36" s="12">
        <f>+H35</f>
        <v>1546.59</v>
      </c>
      <c r="I36" s="1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9"/>
      <c r="B37" s="79" t="s">
        <v>10</v>
      </c>
      <c r="C37" s="80"/>
      <c r="D37" s="80"/>
      <c r="E37" s="80"/>
      <c r="F37" s="80"/>
      <c r="G37" s="80"/>
      <c r="H37" s="81"/>
      <c r="I37" s="3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9"/>
      <c r="B38" s="73" t="s">
        <v>67</v>
      </c>
      <c r="C38" s="74"/>
      <c r="D38" s="74"/>
      <c r="E38" s="74"/>
      <c r="F38" s="74"/>
      <c r="G38" s="74"/>
      <c r="H38" s="75"/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2.25" customHeight="1" x14ac:dyDescent="0.25">
      <c r="A39" s="29"/>
      <c r="B39" s="82" t="s">
        <v>68</v>
      </c>
      <c r="C39" s="68"/>
      <c r="D39" s="68"/>
      <c r="E39" s="68"/>
      <c r="F39" s="68"/>
      <c r="G39" s="68"/>
      <c r="H39" s="75"/>
      <c r="I39" s="30"/>
      <c r="J39" s="3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9.25" customHeight="1" x14ac:dyDescent="0.25">
      <c r="A40" s="29"/>
      <c r="B40" s="82" t="s">
        <v>69</v>
      </c>
      <c r="C40" s="74"/>
      <c r="D40" s="74"/>
      <c r="E40" s="74"/>
      <c r="F40" s="74"/>
      <c r="G40" s="74"/>
      <c r="H40" s="75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 hidden="1" customHeight="1" x14ac:dyDescent="0.25">
      <c r="A41" s="29"/>
      <c r="B41" s="82"/>
      <c r="C41" s="83"/>
      <c r="D41" s="83"/>
      <c r="E41" s="83"/>
      <c r="F41" s="83"/>
      <c r="G41" s="83"/>
      <c r="H41" s="84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 x14ac:dyDescent="0.3">
      <c r="A42" s="29"/>
      <c r="B42" s="76"/>
      <c r="C42" s="77"/>
      <c r="D42" s="77"/>
      <c r="E42" s="77"/>
      <c r="F42" s="77"/>
      <c r="G42" s="77"/>
      <c r="H42" s="78"/>
      <c r="I42" s="30"/>
      <c r="J42" s="2"/>
      <c r="K42" s="1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31"/>
      <c r="C43" s="31"/>
      <c r="D43" s="31"/>
      <c r="E43" s="31"/>
      <c r="F43" s="31"/>
      <c r="G43" s="31"/>
      <c r="H43" s="3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8">
    <mergeCell ref="B41:H41"/>
    <mergeCell ref="B42:H42"/>
    <mergeCell ref="B7:H7"/>
    <mergeCell ref="B9:G9"/>
    <mergeCell ref="B37:H37"/>
    <mergeCell ref="B38:H38"/>
    <mergeCell ref="B39:H39"/>
    <mergeCell ref="B40:H40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30</vt:i4>
      </vt:variant>
      <vt:variant>
        <vt:lpstr>Intervalos Nomeados</vt:lpstr>
      </vt:variant>
      <vt:variant>
        <vt:i4>29</vt:i4>
      </vt:variant>
    </vt:vector>
  </HeadingPairs>
  <TitlesOfParts>
    <vt:vector size="59" baseType="lpstr">
      <vt:lpstr>01-2024</vt:lpstr>
      <vt:lpstr>02-2024</vt:lpstr>
      <vt:lpstr>03-2024</vt:lpstr>
      <vt:lpstr>04-2024</vt:lpstr>
      <vt:lpstr>05-2024</vt:lpstr>
      <vt:lpstr>06-2024</vt:lpstr>
      <vt:lpstr>07-2024</vt:lpstr>
      <vt:lpstr>08-2024</vt:lpstr>
      <vt:lpstr>09-2024</vt:lpstr>
      <vt:lpstr>10-2024</vt:lpstr>
      <vt:lpstr>11-2024</vt:lpstr>
      <vt:lpstr>12-2024</vt:lpstr>
      <vt:lpstr>01-2025</vt:lpstr>
      <vt:lpstr>02-2025</vt:lpstr>
      <vt:lpstr>03-2025</vt:lpstr>
      <vt:lpstr>04-2025</vt:lpstr>
      <vt:lpstr>05-2025</vt:lpstr>
      <vt:lpstr>06-2025</vt:lpstr>
      <vt:lpstr>07-2025</vt:lpstr>
      <vt:lpstr>08-2025</vt:lpstr>
      <vt:lpstr>09-2025</vt:lpstr>
      <vt:lpstr>10-2025</vt:lpstr>
      <vt:lpstr>11-2025</vt:lpstr>
      <vt:lpstr>12-2025</vt:lpstr>
      <vt:lpstr>01-2026</vt:lpstr>
      <vt:lpstr>02-2026</vt:lpstr>
      <vt:lpstr>03-2026</vt:lpstr>
      <vt:lpstr>04-2026</vt:lpstr>
      <vt:lpstr>05-2026</vt:lpstr>
      <vt:lpstr>06-2026</vt:lpstr>
      <vt:lpstr>'01-2024'!Area_de_impressao</vt:lpstr>
      <vt:lpstr>'01-2025'!Area_de_impressao</vt:lpstr>
      <vt:lpstr>'01-2026'!Area_de_impressao</vt:lpstr>
      <vt:lpstr>'02-2025'!Area_de_impressao</vt:lpstr>
      <vt:lpstr>'02-2026'!Area_de_impressao</vt:lpstr>
      <vt:lpstr>'03-2024'!Area_de_impressao</vt:lpstr>
      <vt:lpstr>'03-2025'!Area_de_impressao</vt:lpstr>
      <vt:lpstr>'03-2026'!Area_de_impressao</vt:lpstr>
      <vt:lpstr>'04-2024'!Area_de_impressao</vt:lpstr>
      <vt:lpstr>'04-2025'!Area_de_impressao</vt:lpstr>
      <vt:lpstr>'04-2026'!Area_de_impressao</vt:lpstr>
      <vt:lpstr>'05-2024'!Area_de_impressao</vt:lpstr>
      <vt:lpstr>'05-2025'!Area_de_impressao</vt:lpstr>
      <vt:lpstr>'05-2026'!Area_de_impressao</vt:lpstr>
      <vt:lpstr>'06-2024'!Area_de_impressao</vt:lpstr>
      <vt:lpstr>'06-2025'!Area_de_impressao</vt:lpstr>
      <vt:lpstr>'06-2026'!Area_de_impressao</vt:lpstr>
      <vt:lpstr>'07-2024'!Area_de_impressao</vt:lpstr>
      <vt:lpstr>'07-2025'!Area_de_impressao</vt:lpstr>
      <vt:lpstr>'08-2024'!Area_de_impressao</vt:lpstr>
      <vt:lpstr>'08-2025'!Area_de_impressao</vt:lpstr>
      <vt:lpstr>'09-2024'!Area_de_impressao</vt:lpstr>
      <vt:lpstr>'09-2025'!Area_de_impressao</vt:lpstr>
      <vt:lpstr>'10-2024'!Area_de_impressao</vt:lpstr>
      <vt:lpstr>'10-2025'!Area_de_impressao</vt:lpstr>
      <vt:lpstr>'11-2024'!Area_de_impressao</vt:lpstr>
      <vt:lpstr>'11-2025'!Area_de_impressao</vt:lpstr>
      <vt:lpstr>'12-2024'!Area_de_impressao</vt:lpstr>
      <vt:lpstr>'12-2025'!Area_de_impressao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financeiro</dc:creator>
  <cp:lastModifiedBy>Licenca02</cp:lastModifiedBy>
  <cp:lastPrinted>2026-07-15T15:08:30Z</cp:lastPrinted>
  <dcterms:created xsi:type="dcterms:W3CDTF">2012-01-17T12:10:04Z</dcterms:created>
  <dcterms:modified xsi:type="dcterms:W3CDTF">2026-07-15T15:08:37Z</dcterms:modified>
</cp:coreProperties>
</file>